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Budget" sheetId="2" state="visible" r:id="rId4"/>
    <sheet name="Reserves" sheetId="3" state="visible" r:id="rId5"/>
    <sheet name="Cash Check" sheetId="4" state="visible" r:id="rId6"/>
    <sheet name="Exampl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<sst xmlns="http://schemas.openxmlformats.org/spreadsheetml/2006/main" count="345" uniqueCount="249">
  <si>
    <t xml:space="preserve">HOA Budget Template</t>
  </si>
  <si>
    <t xml:space="preserve">Prepared by CMGT · cmgt.org · Commit. Communicate. Care.</t>
  </si>
  <si>
    <t xml:space="preserve">BEFORE YOU START, GATHER THESE</t>
  </si>
  <si>
    <t xml:space="preserve">Last year's financials</t>
  </si>
  <si>
    <t xml:space="preserve">The year-end income statement. Actuals, not the budget you adopted.</t>
  </si>
  <si>
    <t xml:space="preserve">Your declaration</t>
  </si>
  <si>
    <t xml:space="preserve">The assessment section, including any cap on increases.</t>
  </si>
  <si>
    <t xml:space="preserve">Insurance renewal quotes</t>
  </si>
  <si>
    <t xml:space="preserve">From your agent. Not last year's premium plus a guess.</t>
  </si>
  <si>
    <t xml:space="preserve">Vendor contracts</t>
  </si>
  <si>
    <t xml:space="preserve">Landscaping, pool, pest, trash. Note any scheduled escalators.</t>
  </si>
  <si>
    <t xml:space="preserve">Your reserve study</t>
  </si>
  <si>
    <t xml:space="preserve">If you don't have one, that's worth fixing before next year.</t>
  </si>
  <si>
    <t xml:space="preserve">THE TABS</t>
  </si>
  <si>
    <t xml:space="preserve">Budget</t>
  </si>
  <si>
    <t xml:space="preserve">The only tab most communities need. Fill it in top to bottom. Dues are calculated at the bottom.</t>
  </si>
  <si>
    <t xml:space="preserve">Reserves</t>
  </si>
  <si>
    <t xml:space="preserve">Optional. A quick estimate of whether you're saving enough, and where this year's capital projects are paid from.</t>
  </si>
  <si>
    <t xml:space="preserve">Cash Check</t>
  </si>
  <si>
    <t xml:space="preserve">Optional. Shows whether the bank account dips below zero in a given month, even when the budget balances.</t>
  </si>
  <si>
    <t xml:space="preserve">Example</t>
  </si>
  <si>
    <t xml:space="preserve">A finished budget for an imaginary 150-home community with a pool. Look here when you want to see what "done" looks like.</t>
  </si>
  <si>
    <t xml:space="preserve">CELL COLORS</t>
  </si>
  <si>
    <t xml:space="preserve">Blue text on pale blue</t>
  </si>
  <si>
    <t xml:space="preserve">You fill this in.</t>
  </si>
  <si>
    <t xml:space="preserve">Blue text on yellow</t>
  </si>
  <si>
    <t xml:space="preserve">An assumption. Set it on purpose, don't just accept the starting value.</t>
  </si>
  <si>
    <t xml:space="preserve">Green text</t>
  </si>
  <si>
    <t xml:space="preserve">Pulled from another tab. Change it at the source.</t>
  </si>
  <si>
    <t xml:space="preserve">Black text</t>
  </si>
  <si>
    <t xml:space="preserve">A formula. The tabs are protected so formulas can't be overwritten by accident; there's no password (Review → Unprotect Sheet) if you need to add rows.</t>
  </si>
  <si>
    <t xml:space="preserve">THREE THINGS THIS TEMPLATE DOES DIFFERENTLY</t>
  </si>
  <si>
    <t xml:space="preserve">Dues are an output</t>
  </si>
  <si>
    <t xml:space="preserve">You never type in assessment income. It's whatever the budget requires after other income, which is the only figure that actually balances.</t>
  </si>
  <si>
    <t xml:space="preserve">Your cap is checked for you</t>
  </si>
  <si>
    <t xml:space="preserve">The increase is compared against the cap in your governing documents, with a three-year phase-in if the full increase isn't adoptable this year.</t>
  </si>
  <si>
    <t xml:space="preserve">Capital is charged once</t>
  </si>
  <si>
    <t xml:space="preserve">Each capital project names what pays for it. Work paid from reserves never also shows up as an operating expense, which is how boards accidentally bill owners twice for the same roof.</t>
  </si>
  <si>
    <t xml:space="preserve">THE SEQUENCE</t>
  </si>
  <si>
    <t xml:space="preserve">Step 1</t>
  </si>
  <si>
    <t xml:space="preserve">Fill in section 1 of the Budget tab.</t>
  </si>
  <si>
    <t xml:space="preserve">Step 2</t>
  </si>
  <si>
    <t xml:space="preserve">Enter last year's actuals, then next year's budget line by line, with the source of each number.</t>
  </si>
  <si>
    <t xml:space="preserve">Step 3</t>
  </si>
  <si>
    <t xml:space="preserve">Set the reserve contribution from your reserve study (or the Reserves tab estimate, if you have no study).</t>
  </si>
  <si>
    <t xml:space="preserve">Step 4</t>
  </si>
  <si>
    <t xml:space="preserve">Read section 5: the billed assessment, grossed up for your delinquency allowance, and the change from today. Check it against your cap.</t>
  </si>
  <si>
    <t xml:space="preserve">Step 5</t>
  </si>
  <si>
    <t xml:space="preserve">Optional: glance at the Cash Check for a red month.</t>
  </si>
  <si>
    <t xml:space="preserve">Step 6</t>
  </si>
  <si>
    <t xml:space="preserve">Take the draft to the board and follow your adoption and ratification process.</t>
  </si>
  <si>
    <t xml:space="preserve">A free planning tool, not CMGT's budget process. CMGT offers this workbook to help boards think through a budget. It isn't the process CMGT uses to prepare budgets for the communities it manages, and it isn't accounting, tax, legal or financial advice. It isn't a reserve study and doesn't replace one or an audit. For your community's actual budget, work with your CPA, your association's attorney and your management company. Prefer to have it done for you? cmgt.org/request-a-proposal</t>
  </si>
  <si>
    <t xml:space="preserve">HOA Budget</t>
  </si>
  <si>
    <t xml:space="preserve">Fill in the blue cells, top to bottom. Yellow cells are assumptions to set on purpose. Dues are calculated at the bottom; you never type them in.</t>
  </si>
  <si>
    <t xml:space="preserve">1 · ABOUT YOUR ASSOCIATION</t>
  </si>
  <si>
    <t xml:space="preserve">Association name</t>
  </si>
  <si>
    <t xml:space="preserve">As it appears in your governing documents.</t>
  </si>
  <si>
    <t xml:space="preserve">Fiscal year</t>
  </si>
  <si>
    <t xml:space="preserve">For example "2027" or "FY 2026–27".</t>
  </si>
  <si>
    <t xml:space="preserve">First month of your fiscal year (1 = Jan, 12 = Dec)</t>
  </si>
  <si>
    <t xml:space="preserve">Many associations are not on a calendar year. Used by the Cash Check tab.</t>
  </si>
  <si>
    <t xml:space="preserve">Number of homes / units that pay assessments</t>
  </si>
  <si>
    <t xml:space="preserve">Only lots or units that actually pay.</t>
  </si>
  <si>
    <t xml:space="preserve">Assessment payments per year</t>
  </si>
  <si>
    <t xml:space="preserve">12 = monthly, 4 = quarterly, 2 = semi-annual, 1 = annual.</t>
  </si>
  <si>
    <t xml:space="preserve">Current assessment — per home, per payment</t>
  </si>
  <si>
    <t xml:space="preserve">What owners pay today. Used to show the change, not to set the budget.</t>
  </si>
  <si>
    <t xml:space="preserve">Operating cash on hand at the start of the year</t>
  </si>
  <si>
    <t xml:space="preserve">Operating account only. Don't include reserve funds.</t>
  </si>
  <si>
    <t xml:space="preserve">Cap on annual increase in your governing documents</t>
  </si>
  <si>
    <t xml:space="preserve">Many declarations cap increases without a member vote. Leave blank if there is no cap.</t>
  </si>
  <si>
    <t xml:space="preserve">Contingency (% of operating expenses)</t>
  </si>
  <si>
    <t xml:space="preserve">Commonly 3% to 5%, for ordinary surprises, not storms or capital work.</t>
  </si>
  <si>
    <t xml:space="preserve">Delinquency allowance (share of dues you expect to arrive late)</t>
  </si>
  <si>
    <t xml:space="preserve">Bills are grossed up by this share so the plan still works when a few homeowners pay late. Base it on your community's history.</t>
  </si>
  <si>
    <t xml:space="preserve">2 · INCOME OTHER THAN ASSESSMENTS</t>
  </si>
  <si>
    <t xml:space="preserve">Line item</t>
  </si>
  <si>
    <t xml:space="preserve">Last year — actual</t>
  </si>
  <si>
    <t xml:space="preserve">Next year — budget</t>
  </si>
  <si>
    <t xml:space="preserve">Change</t>
  </si>
  <si>
    <t xml:space="preserve">Where this number comes from</t>
  </si>
  <si>
    <t xml:space="preserve">Late fees and interest on past-due accounts</t>
  </si>
  <si>
    <t xml:space="preserve">Budget conservatively. This is not income you want to depend on.</t>
  </si>
  <si>
    <t xml:space="preserve">Clubhouse and amenity rental income</t>
  </si>
  <si>
    <t xml:space="preserve">Prior year, adjusted for any rate the board has adopted.</t>
  </si>
  <si>
    <t xml:space="preserve">Transfer, resale and estoppel fees</t>
  </si>
  <si>
    <t xml:space="preserve">Varies with home sales. Don't straight-line a busy year.</t>
  </si>
  <si>
    <t xml:space="preserve">Interest income — operating accounts</t>
  </si>
  <si>
    <t xml:space="preserve">Bank statements. Interest on reserve accounts stays in reserves.</t>
  </si>
  <si>
    <t xml:space="preserve">Other income</t>
  </si>
  <si>
    <t xml:space="preserve">Describe it here so next year's board knows what it was.</t>
  </si>
  <si>
    <t xml:space="preserve">Total income other than assessments</t>
  </si>
  <si>
    <t xml:space="preserve">3 · OPERATING EXPENSES — leave any line at zero if it doesn't apply</t>
  </si>
  <si>
    <t xml:space="preserve">Management fees</t>
  </si>
  <si>
    <t xml:space="preserve">Your management agreement, including any escalator.</t>
  </si>
  <si>
    <t xml:space="preserve">Insurance — general liability and D&amp;O</t>
  </si>
  <si>
    <t xml:space="preserve">Agent's renewal quote. Don't estimate.</t>
  </si>
  <si>
    <t xml:space="preserve">Insurance — property (common structures)</t>
  </si>
  <si>
    <t xml:space="preserve">Agent's renewal quote at current replacement cost.</t>
  </si>
  <si>
    <t xml:space="preserve">Insurance — windstorm</t>
  </si>
  <si>
    <t xml:space="preserve">Often a separate policy on the coast. Ask for the deductible in dollars.</t>
  </si>
  <si>
    <t xml:space="preserve">Insurance — flood</t>
  </si>
  <si>
    <t xml:space="preserve">NFIP and any excess layer. Confirm the flood zone hasn't been remapped.</t>
  </si>
  <si>
    <t xml:space="preserve">Utilities — electricity (common areas)</t>
  </si>
  <si>
    <t xml:space="preserve">Twelve months of actual bills plus any announced rate change.</t>
  </si>
  <si>
    <t xml:space="preserve">Utilities — water, sewer and irrigation</t>
  </si>
  <si>
    <t xml:space="preserve">Twelve months of usage. A rising trend can mean a leak.</t>
  </si>
  <si>
    <t xml:space="preserve">Landscaping and grounds</t>
  </si>
  <si>
    <t xml:space="preserve">Contract annual value plus the contracted escalator.</t>
  </si>
  <si>
    <t xml:space="preserve">Common area maintenance and repairs</t>
  </si>
  <si>
    <t xml:space="preserve">Routine fixes only. Replacements belong on the Reserves tab.</t>
  </si>
  <si>
    <t xml:space="preserve">Pool and amenity operations</t>
  </si>
  <si>
    <t xml:space="preserve">Service contract, chemicals, permits. Resurfacing is a reserve item.</t>
  </si>
  <si>
    <t xml:space="preserve">Trash and recycling</t>
  </si>
  <si>
    <t xml:space="preserve">Contract, or leave at zero if the city provides it.</t>
  </si>
  <si>
    <t xml:space="preserve">Pest and mosquito control</t>
  </si>
  <si>
    <t xml:space="preserve">Current contract.</t>
  </si>
  <si>
    <t xml:space="preserve">Legal</t>
  </si>
  <si>
    <t xml:space="preserve">If a collection or enforcement matter is open, ask counsel for an estimate.</t>
  </si>
  <si>
    <t xml:space="preserve">Accounting, audit, review and tax prep</t>
  </si>
  <si>
    <t xml:space="preserve">CPA engagement letter. Your documents or state law may require a level.</t>
  </si>
  <si>
    <t xml:space="preserve">Administrative — postage, printing, portal, website</t>
  </si>
  <si>
    <t xml:space="preserve">Annual meeting mailings drive most of this.</t>
  </si>
  <si>
    <t xml:space="preserve">Taxes, licenses, filings and bank fees</t>
  </si>
  <si>
    <t xml:space="preserve">Prior year actual. Associations do file returns.</t>
  </si>
  <si>
    <t xml:space="preserve">Other: gate, pond, security, elevator, etc.</t>
  </si>
  <si>
    <t xml:space="preserve">Leave at zero if it doesn't apply. Rename it if it does.</t>
  </si>
  <si>
    <t xml:space="preserve">Other:</t>
  </si>
  <si>
    <t xml:space="preserve">Leave at zero if it doesn't apply.</t>
  </si>
  <si>
    <t xml:space="preserve">Total operating expenses</t>
  </si>
  <si>
    <t xml:space="preserve">4 · RESERVES, CONTINGENCY AND STORM DEDUCTIBLE</t>
  </si>
  <si>
    <t xml:space="preserve">Annual reserve contribution</t>
  </si>
  <si>
    <t xml:space="preserve">Follow your reserve study. If you don't have one, that's the first thing to fix.</t>
  </si>
  <si>
    <t xml:space="preserve">   ↳ Reserves tab estimate, for comparison</t>
  </si>
  <si>
    <t xml:space="preserve">A negative change means you're contributing less than the estimate. That can be a fair board decision; record the reasoning in the minutes.</t>
  </si>
  <si>
    <t xml:space="preserve">Storm deductible funding</t>
  </si>
  <si>
    <t xml:space="preserve">Coastal wind deductibles are often a % of insured value. Ask your agent for the dollar figure and set aside toward it each year.</t>
  </si>
  <si>
    <t xml:space="preserve">Contingency</t>
  </si>
  <si>
    <t xml:space="preserve">Operating expenses × the contingency % in section 1.</t>
  </si>
  <si>
    <t xml:space="preserve">Capital projects paid from operating this year</t>
  </si>
  <si>
    <t xml:space="preserve">From the Reserves tab. Only this year's projects marked "Operating" appear here.</t>
  </si>
  <si>
    <t xml:space="preserve">Total reserves, contingency and capital</t>
  </si>
  <si>
    <t xml:space="preserve">5 · WHAT DUES HAVE TO COVER</t>
  </si>
  <si>
    <t xml:space="preserve">Total to be funded (operating + reserves + contingency + capital)</t>
  </si>
  <si>
    <t xml:space="preserve">Less: income other than assessments</t>
  </si>
  <si>
    <t xml:space="preserve">Assessment revenue required</t>
  </si>
  <si>
    <t xml:space="preserve">What dues need to bring in after other income.</t>
  </si>
  <si>
    <t xml:space="preserve">Required — per home, per year</t>
  </si>
  <si>
    <t xml:space="preserve">Required — per home, per payment</t>
  </si>
  <si>
    <t xml:space="preserve">Before the delinquency allowance.</t>
  </si>
  <si>
    <t xml:space="preserve">BILLED — PER HOME, PER PAYMENT</t>
  </si>
  <si>
    <t xml:space="preserve">Grossed up for the delinquency allowance. This is what each homeowner is billed.</t>
  </si>
  <si>
    <t xml:space="preserve">Change from current assessment — per payment</t>
  </si>
  <si>
    <t xml:space="preserve">Change — percent</t>
  </si>
  <si>
    <t xml:space="preserve">The figure the board will be asked about at the annual meeting.</t>
  </si>
  <si>
    <t xml:space="preserve">Within your governing documents' cap?</t>
  </si>
  <si>
    <t xml:space="preserve">If the increase is over your cap, your declaration may require a member vote and advance notice. Confirm before relying on this budget.</t>
  </si>
  <si>
    <t xml:space="preserve">6 · IF THE FULL INCREASE ISN'T ADOPTABLE THIS YEAR</t>
  </si>
  <si>
    <t xml:space="preserve">Only matters if you're over the cap. Each year rises by the cap until it reaches what the budget requires. The shortfall doesn't disappear; it becomes deferred maintenance or a special assessment later.</t>
  </si>
  <si>
    <t xml:space="preserve">Assessment per payment</t>
  </si>
  <si>
    <t xml:space="preserve">Annual shortfall</t>
  </si>
  <si>
    <t xml:space="preserve">Year 1</t>
  </si>
  <si>
    <t xml:space="preserve">Year 2</t>
  </si>
  <si>
    <t xml:space="preserve">Year 3</t>
  </si>
  <si>
    <t xml:space="preserve">A free planning tool from CMGT, not the process CMGT uses to prepare budgets for the communities it manages. Not accounting, tax, legal or financial advice; work with your CPA and your association's attorney. Adoption, notice and ratification rules vary by governing documents and state law. cmgt.org/resources/hoa-budget-template</t>
  </si>
  <si>
    <t xml:space="preserve">For board discussion, not a reserve study. A real study accounts for inflation, interest, funding method and condition. Where your study and this tab disagree, follow the study.</t>
  </si>
  <si>
    <t xml:space="preserve">COMPONENTS THE ASSOCIATION REPLACES</t>
  </si>
  <si>
    <t xml:space="preserve">Component</t>
  </si>
  <si>
    <t xml:space="preserve">Replacement cost</t>
  </si>
  <si>
    <t xml:space="preserve">Useful life (yrs)</t>
  </si>
  <si>
    <t xml:space="preserve">Remaining life (yrs)</t>
  </si>
  <si>
    <t xml:space="preserve">Set aside per year</t>
  </si>
  <si>
    <t xml:space="preserve">Should be saved by now</t>
  </si>
  <si>
    <t xml:space="preserve">Notes</t>
  </si>
  <si>
    <t xml:space="preserve">Typical components: roofs (if the association maintains them), streets and parking, pool resurfacing and equipment, fencing and gates, entry monument, playground, lake banks and fountains, clubhouse interiors.</t>
  </si>
  <si>
    <t xml:space="preserve">WHERE YOU STAND</t>
  </si>
  <si>
    <t xml:space="preserve">Reserve balance today</t>
  </si>
  <si>
    <t xml:space="preserve">All reserve accounts combined. Don't include operating cash.</t>
  </si>
  <si>
    <t xml:space="preserve">Should be saved by now (total)</t>
  </si>
  <si>
    <t xml:space="preserve">What the account would hold if every component had been funded as it wore.</t>
  </si>
  <si>
    <t xml:space="preserve">Percent funded</t>
  </si>
  <si>
    <t xml:space="preserve">Below roughly 30% means a high risk of special assessments. 70% or better is a healthy position.</t>
  </si>
  <si>
    <t xml:space="preserve">Years to catch up on any shortfall</t>
  </si>
  <si>
    <t xml:space="preserve">If you're behind, how many years you'd take to close the gap.</t>
  </si>
  <si>
    <t xml:space="preserve">ESTIMATED ANNUAL CONTRIBUTION</t>
  </si>
  <si>
    <t xml:space="preserve">Set-aside for wear, plus the shortfall spread over your catch-up years. The Budget tab shows it beside your contribution.</t>
  </si>
  <si>
    <t xml:space="preserve">CAPITAL PROJECTS PLANNED FOR THIS FISCAL YEAR — and how each is paid for</t>
  </si>
  <si>
    <t xml:space="preserve">Project</t>
  </si>
  <si>
    <t xml:space="preserve">Estimated cost</t>
  </si>
  <si>
    <t xml:space="preserve">Paid from</t>
  </si>
  <si>
    <t xml:space="preserve">Charged to this year's budget</t>
  </si>
  <si>
    <t xml:space="preserve">Future-year projects belong in your reserve study, not here.</t>
  </si>
  <si>
    <t xml:space="preserve">Charged to this year's operating budget</t>
  </si>
  <si>
    <t xml:space="preserve">A project paid from reserves is already covered by your annual contribution. Don't also budget it as an expense, or owners pay for the same roof twice. Only projects marked Operating flow into the Budget tab.</t>
  </si>
  <si>
    <t xml:space="preserve">Optional. An annual budget can balance while the bank account runs dry in the month the insurance premium is due. Set the two due months below and look for a red month.</t>
  </si>
  <si>
    <t xml:space="preserve">Month the insurance premiums are due (1–12)</t>
  </si>
  <si>
    <t xml:space="preserve">Calendar months. Pool costs are spread across May–September automatically. Everything else is spread evenly across the year.</t>
  </si>
  <si>
    <t xml:space="preserve">Month the audit, tax and other annual bills are due (1–12)</t>
  </si>
  <si>
    <t xml:space="preserve">Month capital work paid from operating happens (1–12)</t>
  </si>
  <si>
    <t xml:space="preserve">Annual</t>
  </si>
  <si>
    <t xml:space="preserve">Timing</t>
  </si>
  <si>
    <t xml:space="preserve">Check</t>
  </si>
  <si>
    <t xml:space="preserve">Calendar month number</t>
  </si>
  <si>
    <t xml:space="preserve">CASH IN</t>
  </si>
  <si>
    <t xml:space="preserve">Assessments (expected collections)</t>
  </si>
  <si>
    <t xml:space="preserve">By payment schedule</t>
  </si>
  <si>
    <t xml:space="preserve">Even</t>
  </si>
  <si>
    <t xml:space="preserve">Total cash in</t>
  </si>
  <si>
    <t xml:space="preserve">CASH OUT</t>
  </si>
  <si>
    <t xml:space="preserve">Insurance premiums (all policies)</t>
  </si>
  <si>
    <t xml:space="preserve">Due month above</t>
  </si>
  <si>
    <t xml:space="preserve">Audit, tax prep, filings and fees</t>
  </si>
  <si>
    <t xml:space="preserve">May–Sep</t>
  </si>
  <si>
    <t xml:space="preserve">All other operating expenses</t>
  </si>
  <si>
    <t xml:space="preserve">Reserve transfer, deductible funding, contingency</t>
  </si>
  <si>
    <t xml:space="preserve">Capital work paid from operating</t>
  </si>
  <si>
    <t xml:space="preserve">Month above</t>
  </si>
  <si>
    <t xml:space="preserve">Total cash out</t>
  </si>
  <si>
    <t xml:space="preserve">OPERATING CASH</t>
  </si>
  <si>
    <t xml:space="preserve">Opening cash</t>
  </si>
  <si>
    <t xml:space="preserve">CLOSING CASH</t>
  </si>
  <si>
    <t xml:space="preserve">Lowest month</t>
  </si>
  <si>
    <t xml:space="preserve">A red month means the budget balances but the cash doesn't. Common fixes: ask the insurer about installment billing, move the reserve transfer later in the year, or carry more opening cash. Fix the timing, not the dues.</t>
  </si>
  <si>
    <t xml:space="preserve">HOA Budget — Worked Example</t>
  </si>
  <si>
    <t xml:space="preserve">A finished budget for an imaginary community, so you can see what filled in looks like. Every number is illustrative. Your own budget goes on the Budget tab.</t>
  </si>
  <si>
    <t xml:space="preserve">Magnolia Bend HOA</t>
  </si>
  <si>
    <t xml:space="preserve">2027</t>
  </si>
  <si>
    <t xml:space="preserve">Last year's actual, trimmed. Late fees fall as delinquency falls, which is the goal.</t>
  </si>
  <si>
    <t xml:space="preserve">Clubhouse rentals at the board-approved rate.</t>
  </si>
  <si>
    <t xml:space="preserve">Resale and transfer fees. Varies with home sales.</t>
  </si>
  <si>
    <t xml:space="preserve">Operating account interest only.</t>
  </si>
  <si>
    <t xml:space="preserve">Management agreement, including the 3% escalator.</t>
  </si>
  <si>
    <t xml:space="preserve">Agent's renewal quote.</t>
  </si>
  <si>
    <t xml:space="preserve">Separate wind policy. Quote received in October.</t>
  </si>
  <si>
    <t xml:space="preserve">NFIP policy on the clubhouse.</t>
  </si>
  <si>
    <t xml:space="preserve">Twelve months of bills for streetlights, pool, entrance.</t>
  </si>
  <si>
    <t xml:space="preserve">Irrigation and pool fill. Usage trend checked for leaks.</t>
  </si>
  <si>
    <t xml:space="preserve">Contract: $2,750/mo plus 3% escalator in March.</t>
  </si>
  <si>
    <t xml:space="preserve">Three-year average of routine repairs.</t>
  </si>
  <si>
    <t xml:space="preserve">Pool service contract, chemicals, and permit.</t>
  </si>
  <si>
    <t xml:space="preserve">Provided by the city.</t>
  </si>
  <si>
    <t xml:space="preserve">Mosquito control contract.</t>
  </si>
  <si>
    <t xml:space="preserve">Counsel estimate for one open collection matter.</t>
  </si>
  <si>
    <t xml:space="preserve">CPA engagement letter for the annual review and tax return.</t>
  </si>
  <si>
    <t xml:space="preserve">Annual meeting mailing, postage, website.</t>
  </si>
  <si>
    <t xml:space="preserve">State filings, licenses, bank fees.</t>
  </si>
  <si>
    <t xml:space="preserve">Follow your reserve study. It recommended $90,000 for this year.</t>
  </si>
  <si>
    <t xml:space="preserve">On your own budget, this pulls from the Reserves tab so you can compare.</t>
  </si>
  <si>
    <t xml:space="preserve">Entry sign lighting upgrade. On your own budget, this pulls from the Reserves tab.</t>
  </si>
</sst>
</file>

<file path=xl/styles.xml><?xml version="1.0" encoding="utf-8"?>
<styleSheet xmlns="http://schemas.openxmlformats.org/spreadsheetml/2006/main">
  <numFmts count="6">
    <numFmt numFmtId="164" formatCode="General"/>
    <numFmt numFmtId="165" formatCode="0"/>
    <numFmt numFmtId="166" formatCode="#,##0"/>
    <numFmt numFmtId="167" formatCode="\$#,##0.00;&quot;($&quot;#,##0.00\);\—"/>
    <numFmt numFmtId="168" formatCode="\$#,##0;&quot;($&quot;#,##0\);\—"/>
    <numFmt numFmtId="169" formatCode="0.0%"/>
  </numFmts>
  <fonts count="16">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i val="true"/>
      <sz val="10"/>
      <color rgb="FFFFFFFF"/>
      <name val="Arial"/>
      <family val="0"/>
      <charset val="1"/>
    </font>
    <font>
      <b val="true"/>
      <sz val="11"/>
      <color rgb="FFFFFFFF"/>
      <name val="Arial"/>
      <family val="0"/>
      <charset val="1"/>
    </font>
    <font>
      <b val="true"/>
      <sz val="10"/>
      <color rgb="FF1E1E77"/>
      <name val="Arial"/>
      <family val="0"/>
      <charset val="1"/>
    </font>
    <font>
      <sz val="10"/>
      <name val="Arial"/>
      <family val="0"/>
      <charset val="1"/>
    </font>
    <font>
      <sz val="10"/>
      <color rgb="FF1A1A1A"/>
      <name val="Arial"/>
      <family val="0"/>
      <charset val="1"/>
    </font>
    <font>
      <i val="true"/>
      <sz val="9"/>
      <color rgb="FF6B6B6B"/>
      <name val="Arial"/>
      <family val="0"/>
      <charset val="1"/>
    </font>
    <font>
      <sz val="10"/>
      <color rgb="FF1F3FBF"/>
      <name val="Arial"/>
      <family val="0"/>
      <charset val="1"/>
    </font>
    <font>
      <b val="true"/>
      <sz val="10"/>
      <name val="Arial"/>
      <family val="0"/>
      <charset val="1"/>
    </font>
    <font>
      <b val="true"/>
      <sz val="10"/>
      <color rgb="FF1A1A1A"/>
      <name val="Arial"/>
      <family val="0"/>
      <charset val="1"/>
    </font>
    <font>
      <sz val="10"/>
      <color rgb="FF1E7B3A"/>
      <name val="Arial"/>
      <family val="0"/>
      <charset val="1"/>
    </font>
    <font>
      <sz val="9"/>
      <color rgb="FF6B6B6B"/>
      <name val="Arial"/>
      <family val="0"/>
      <charset val="1"/>
    </font>
  </fonts>
  <fills count="7">
    <fill>
      <patternFill patternType="none"/>
    </fill>
    <fill>
      <patternFill patternType="gray125"/>
    </fill>
    <fill>
      <patternFill patternType="solid">
        <fgColor rgb="FF1E1E77"/>
        <bgColor rgb="FF15155C"/>
      </patternFill>
    </fill>
    <fill>
      <patternFill patternType="solid">
        <fgColor rgb="FFF3F8FF"/>
        <bgColor rgb="FFFFFFFF"/>
      </patternFill>
    </fill>
    <fill>
      <patternFill patternType="solid">
        <fgColor rgb="FFFFFF00"/>
        <bgColor rgb="FFFFFF00"/>
      </patternFill>
    </fill>
    <fill>
      <patternFill patternType="solid">
        <fgColor rgb="FFE8E8F1"/>
        <bgColor rgb="FFF3F8FF"/>
      </patternFill>
    </fill>
    <fill>
      <patternFill patternType="solid">
        <fgColor rgb="FF15155C"/>
        <bgColor rgb="FF1E1E77"/>
      </patternFill>
    </fill>
  </fills>
  <borders count="2">
    <border diagonalUp="false" diagonalDown="false">
      <left/>
      <right/>
      <top/>
      <bottom/>
      <diagonal/>
    </border>
    <border diagonalUp="false" diagonalDown="false">
      <left style="thin">
        <color rgb="FFD0D4E0"/>
      </left>
      <right style="thin">
        <color rgb="FFD0D4E0"/>
      </right>
      <top style="thin">
        <color rgb="FFD0D4E0"/>
      </top>
      <bottom style="thin">
        <color rgb="FFD0D4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true" applyAlignment="true" applyProtection="false">
      <alignment horizontal="general" vertical="center" textRotation="0" wrapText="true" indent="1" shrinkToFit="false"/>
      <protection locked="true" hidden="false"/>
    </xf>
    <xf numFmtId="164" fontId="6"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true">
      <alignment horizontal="general" vertical="top" textRotation="0" wrapText="false" indent="0" shrinkToFit="false"/>
      <protection locked="false" hidden="false"/>
    </xf>
    <xf numFmtId="165" fontId="11" fillId="3" borderId="1" xfId="0" applyFont="true" applyBorder="true" applyAlignment="true" applyProtection="true">
      <alignment horizontal="general" vertical="top" textRotation="0" wrapText="false" indent="0" shrinkToFit="false"/>
      <protection locked="false" hidden="false"/>
    </xf>
    <xf numFmtId="166" fontId="11" fillId="3" borderId="1" xfId="0" applyFont="true" applyBorder="true" applyAlignment="true" applyProtection="true">
      <alignment horizontal="general" vertical="top" textRotation="0" wrapText="false" indent="0" shrinkToFit="false"/>
      <protection locked="false" hidden="false"/>
    </xf>
    <xf numFmtId="167" fontId="11" fillId="3" borderId="1" xfId="0" applyFont="true" applyBorder="true" applyAlignment="true" applyProtection="true">
      <alignment horizontal="general" vertical="top" textRotation="0" wrapText="false" indent="0" shrinkToFit="false"/>
      <protection locked="false" hidden="false"/>
    </xf>
    <xf numFmtId="168" fontId="11" fillId="3" borderId="1" xfId="0" applyFont="true" applyBorder="true" applyAlignment="true" applyProtection="true">
      <alignment horizontal="general" vertical="top" textRotation="0" wrapText="false" indent="0" shrinkToFit="false"/>
      <protection locked="false" hidden="false"/>
    </xf>
    <xf numFmtId="169" fontId="11" fillId="4" borderId="1" xfId="0" applyFont="true" applyBorder="true" applyAlignment="true" applyProtection="true">
      <alignment horizontal="general" vertical="top" textRotation="0" wrapText="false" indent="0" shrinkToFit="false"/>
      <protection locked="false" hidden="false"/>
    </xf>
    <xf numFmtId="164" fontId="12" fillId="5" borderId="1" xfId="0" applyFont="true" applyBorder="true" applyAlignment="true" applyProtection="false">
      <alignment horizontal="general" vertical="center" textRotation="0" wrapText="true" indent="0" shrinkToFit="false"/>
      <protection locked="true" hidden="false"/>
    </xf>
    <xf numFmtId="168" fontId="9" fillId="0" borderId="1" xfId="0" applyFont="true" applyBorder="true" applyAlignment="true" applyProtection="false">
      <alignment horizontal="general" vertical="top" textRotation="0" wrapText="false" indent="0" shrinkToFit="false"/>
      <protection locked="true" hidden="false"/>
    </xf>
    <xf numFmtId="164" fontId="11" fillId="3" borderId="1" xfId="0" applyFont="true" applyBorder="true" applyAlignment="true" applyProtection="true">
      <alignment horizontal="general" vertical="top" textRotation="0" wrapText="true" indent="0" shrinkToFit="false"/>
      <protection locked="false" hidden="false"/>
    </xf>
    <xf numFmtId="164" fontId="13" fillId="5" borderId="1" xfId="0" applyFont="true" applyBorder="true" applyAlignment="true" applyProtection="false">
      <alignment horizontal="general" vertical="top" textRotation="0" wrapText="false" indent="0" shrinkToFit="false"/>
      <protection locked="true" hidden="false"/>
    </xf>
    <xf numFmtId="168" fontId="13" fillId="5" borderId="1" xfId="0" applyFont="true" applyBorder="true" applyAlignment="true" applyProtection="false">
      <alignment horizontal="general" vertical="top"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8" fontId="14" fillId="0" borderId="1" xfId="0" applyFont="true" applyBorder="true" applyAlignment="true" applyProtection="false">
      <alignment horizontal="general" vertical="top" textRotation="0" wrapText="false" indent="0" shrinkToFit="false"/>
      <protection locked="true" hidden="false"/>
    </xf>
    <xf numFmtId="168" fontId="11" fillId="4" borderId="1" xfId="0" applyFont="true" applyBorder="true" applyAlignment="true" applyProtection="true">
      <alignment horizontal="general" vertical="top" textRotation="0" wrapText="false" indent="0" shrinkToFit="false"/>
      <protection locked="false" hidden="false"/>
    </xf>
    <xf numFmtId="164" fontId="9" fillId="0" borderId="1" xfId="0" applyFont="true" applyBorder="true" applyAlignment="true" applyProtection="false">
      <alignment horizontal="general" vertical="top" textRotation="0" wrapText="false" indent="0" shrinkToFit="false"/>
      <protection locked="true" hidden="false"/>
    </xf>
    <xf numFmtId="164" fontId="6" fillId="6" borderId="0" xfId="0" applyFont="true" applyBorder="false" applyAlignment="true" applyProtection="false">
      <alignment horizontal="general"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8" fontId="13" fillId="0" borderId="1" xfId="0" applyFont="true" applyBorder="true" applyAlignment="true" applyProtection="false">
      <alignment horizontal="general" vertical="top" textRotation="0" wrapText="false" indent="0" shrinkToFit="false"/>
      <protection locked="true" hidden="false"/>
    </xf>
    <xf numFmtId="167" fontId="9" fillId="0" borderId="1" xfId="0" applyFont="true" applyBorder="true" applyAlignment="true" applyProtection="false">
      <alignment horizontal="general" vertical="top" textRotation="0" wrapText="false" indent="0" shrinkToFit="false"/>
      <protection locked="true" hidden="false"/>
    </xf>
    <xf numFmtId="164" fontId="13" fillId="5" borderId="1" xfId="0" applyFont="true" applyBorder="true" applyAlignment="true" applyProtection="false">
      <alignment horizontal="general" vertical="top" textRotation="0" wrapText="tru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7" fontId="13" fillId="5" borderId="1" xfId="0" applyFont="true" applyBorder="true" applyAlignment="true" applyProtection="false">
      <alignment horizontal="general" vertical="top" textRotation="0" wrapText="false" indent="0" shrinkToFit="false"/>
      <protection locked="true" hidden="false"/>
    </xf>
    <xf numFmtId="169" fontId="9" fillId="0"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2" fillId="5" borderId="1" xfId="0" applyFont="true" applyBorder="true" applyAlignment="false" applyProtection="false">
      <alignment horizontal="general" vertical="bottom" textRotation="0" wrapText="false" indent="0" shrinkToFit="false"/>
      <protection locked="true" hidden="false"/>
    </xf>
    <xf numFmtId="165" fontId="11" fillId="4" borderId="1" xfId="0" applyFont="true" applyBorder="true" applyAlignment="true" applyProtection="true">
      <alignment horizontal="general" vertical="top" textRotation="0" wrapText="false" indent="0" shrinkToFit="false"/>
      <protection locked="false" hidden="false"/>
    </xf>
    <xf numFmtId="164" fontId="9" fillId="5" borderId="0" xfId="0" applyFont="true" applyBorder="false" applyAlignment="true" applyProtection="false">
      <alignment horizontal="general" vertical="top" textRotation="0" wrapText="false" indent="0" shrinkToFit="false"/>
      <protection locked="true" hidden="false"/>
    </xf>
    <xf numFmtId="164" fontId="13" fillId="5" borderId="1" xfId="0" applyFont="true" applyBorder="true" applyAlignment="true" applyProtection="false">
      <alignment horizontal="center" vertical="top" textRotation="0" wrapText="false" indent="0" shrinkToFit="false"/>
      <protection locked="true" hidden="false"/>
    </xf>
    <xf numFmtId="165" fontId="9" fillId="0" borderId="1" xfId="0" applyFont="true" applyBorder="true" applyAlignment="true" applyProtection="false">
      <alignment horizontal="general" vertical="top"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3" fillId="5"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B00020"/>
      </font>
      <fill>
        <patternFill>
          <bgColor rgb="FFF8D7DA"/>
        </patternFill>
      </fill>
    </dxf>
  </dxfs>
  <colors>
    <indexedColors>
      <rgbColor rgb="FF000000"/>
      <rgbColor rgb="FFFFFFFF"/>
      <rgbColor rgb="FFFF0000"/>
      <rgbColor rgb="FF00FF00"/>
      <rgbColor rgb="FF0000FF"/>
      <rgbColor rgb="FFFFFF00"/>
      <rgbColor rgb="FFFF00FF"/>
      <rgbColor rgb="FF00FFFF"/>
      <rgbColor rgb="FFB00020"/>
      <rgbColor rgb="FF1E7B3A"/>
      <rgbColor rgb="FF15155C"/>
      <rgbColor rgb="FF808000"/>
      <rgbColor rgb="FF800080"/>
      <rgbColor rgb="FF008080"/>
      <rgbColor rgb="FFC0C0C0"/>
      <rgbColor rgb="FF808080"/>
      <rgbColor rgb="FF9999FF"/>
      <rgbColor rgb="FF993366"/>
      <rgbColor rgb="FFF3F8FF"/>
      <rgbColor rgb="FFE8E8F1"/>
      <rgbColor rgb="FF660066"/>
      <rgbColor rgb="FFFF8080"/>
      <rgbColor rgb="FF0066CC"/>
      <rgbColor rgb="FFD0D4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D7DA"/>
      <rgbColor rgb="FF3366FF"/>
      <rgbColor rgb="FF33CCCC"/>
      <rgbColor rgb="FF99CC00"/>
      <rgbColor rgb="FFFFCC00"/>
      <rgbColor rgb="FFFF9900"/>
      <rgbColor rgb="FFFF6600"/>
      <rgbColor rgb="FF6B6B6B"/>
      <rgbColor rgb="FF969696"/>
      <rgbColor rgb="FF1E1E77"/>
      <rgbColor rgb="FF339966"/>
      <rgbColor rgb="FF003300"/>
      <rgbColor rgb="FF333300"/>
      <rgbColor rgb="FF993300"/>
      <rgbColor rgb="FF993366"/>
      <rgbColor rgb="FF1F3FBF"/>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88"/>
  </cols>
  <sheetData>
    <row r="1" customFormat="false" ht="33.75" hidden="false" customHeight="true" outlineLevel="0" collapsed="false">
      <c r="A1" s="1" t="s">
        <v>0</v>
      </c>
      <c r="B1" s="1"/>
    </row>
    <row r="2" customFormat="false" ht="31.5" hidden="false" customHeight="true" outlineLevel="0" collapsed="false">
      <c r="A2" s="2" t="s">
        <v>1</v>
      </c>
      <c r="B2" s="2"/>
    </row>
    <row r="5" customFormat="false" ht="19.5" hidden="false" customHeight="true" outlineLevel="0" collapsed="false">
      <c r="A5" s="3" t="s">
        <v>2</v>
      </c>
      <c r="B5" s="4"/>
    </row>
    <row r="6" customFormat="false" ht="15" hidden="false" customHeight="false" outlineLevel="0" collapsed="false">
      <c r="A6" s="5" t="s">
        <v>3</v>
      </c>
      <c r="B6" s="6" t="s">
        <v>4</v>
      </c>
    </row>
    <row r="7" customFormat="false" ht="15" hidden="false" customHeight="false" outlineLevel="0" collapsed="false">
      <c r="A7" s="5" t="s">
        <v>5</v>
      </c>
      <c r="B7" s="6" t="s">
        <v>6</v>
      </c>
    </row>
    <row r="8" customFormat="false" ht="15" hidden="false" customHeight="false" outlineLevel="0" collapsed="false">
      <c r="A8" s="5" t="s">
        <v>7</v>
      </c>
      <c r="B8" s="6" t="s">
        <v>8</v>
      </c>
    </row>
    <row r="9" customFormat="false" ht="15" hidden="false" customHeight="false" outlineLevel="0" collapsed="false">
      <c r="A9" s="5" t="s">
        <v>9</v>
      </c>
      <c r="B9" s="6" t="s">
        <v>10</v>
      </c>
    </row>
    <row r="10" customFormat="false" ht="15" hidden="false" customHeight="false" outlineLevel="0" collapsed="false">
      <c r="A10" s="5" t="s">
        <v>11</v>
      </c>
      <c r="B10" s="6" t="s">
        <v>12</v>
      </c>
    </row>
    <row r="11" customFormat="false" ht="19.5" hidden="false" customHeight="true" outlineLevel="0" collapsed="false">
      <c r="A11" s="3" t="s">
        <v>13</v>
      </c>
      <c r="B11" s="4"/>
    </row>
    <row r="12" customFormat="false" ht="15" hidden="false" customHeight="false" outlineLevel="0" collapsed="false">
      <c r="A12" s="5" t="s">
        <v>14</v>
      </c>
      <c r="B12" s="6" t="s">
        <v>15</v>
      </c>
    </row>
    <row r="13" customFormat="false" ht="23.85" hidden="false" customHeight="false" outlineLevel="0" collapsed="false">
      <c r="A13" s="5" t="s">
        <v>16</v>
      </c>
      <c r="B13" s="6" t="s">
        <v>17</v>
      </c>
    </row>
    <row r="14" customFormat="false" ht="23.85" hidden="false" customHeight="false" outlineLevel="0" collapsed="false">
      <c r="A14" s="5" t="s">
        <v>18</v>
      </c>
      <c r="B14" s="6" t="s">
        <v>19</v>
      </c>
    </row>
    <row r="15" customFormat="false" ht="23.85" hidden="false" customHeight="false" outlineLevel="0" collapsed="false">
      <c r="A15" s="5" t="s">
        <v>20</v>
      </c>
      <c r="B15" s="6" t="s">
        <v>21</v>
      </c>
    </row>
    <row r="16" customFormat="false" ht="19.5" hidden="false" customHeight="true" outlineLevel="0" collapsed="false">
      <c r="A16" s="3" t="s">
        <v>22</v>
      </c>
      <c r="B16" s="4"/>
    </row>
    <row r="17" customFormat="false" ht="15" hidden="false" customHeight="false" outlineLevel="0" collapsed="false">
      <c r="A17" s="5" t="s">
        <v>23</v>
      </c>
      <c r="B17" s="6" t="s">
        <v>24</v>
      </c>
    </row>
    <row r="18" customFormat="false" ht="15" hidden="false" customHeight="false" outlineLevel="0" collapsed="false">
      <c r="A18" s="5" t="s">
        <v>25</v>
      </c>
      <c r="B18" s="6" t="s">
        <v>26</v>
      </c>
    </row>
    <row r="19" customFormat="false" ht="15" hidden="false" customHeight="false" outlineLevel="0" collapsed="false">
      <c r="A19" s="5" t="s">
        <v>27</v>
      </c>
      <c r="B19" s="6" t="s">
        <v>28</v>
      </c>
    </row>
    <row r="20" customFormat="false" ht="23.85" hidden="false" customHeight="false" outlineLevel="0" collapsed="false">
      <c r="A20" s="5" t="s">
        <v>29</v>
      </c>
      <c r="B20" s="6" t="s">
        <v>30</v>
      </c>
    </row>
    <row r="21" customFormat="false" ht="19.5" hidden="false" customHeight="true" outlineLevel="0" collapsed="false">
      <c r="A21" s="3" t="s">
        <v>31</v>
      </c>
      <c r="B21" s="4"/>
    </row>
    <row r="22" customFormat="false" ht="23.85" hidden="false" customHeight="false" outlineLevel="0" collapsed="false">
      <c r="A22" s="5" t="s">
        <v>32</v>
      </c>
      <c r="B22" s="6" t="s">
        <v>33</v>
      </c>
    </row>
    <row r="23" customFormat="false" ht="23.85" hidden="false" customHeight="false" outlineLevel="0" collapsed="false">
      <c r="A23" s="5" t="s">
        <v>34</v>
      </c>
      <c r="B23" s="6" t="s">
        <v>35</v>
      </c>
    </row>
    <row r="24" customFormat="false" ht="23.85" hidden="false" customHeight="false" outlineLevel="0" collapsed="false">
      <c r="A24" s="5" t="s">
        <v>36</v>
      </c>
      <c r="B24" s="6" t="s">
        <v>37</v>
      </c>
    </row>
    <row r="25" customFormat="false" ht="19.5" hidden="false" customHeight="true" outlineLevel="0" collapsed="false">
      <c r="A25" s="3" t="s">
        <v>38</v>
      </c>
      <c r="B25" s="4"/>
    </row>
    <row r="26" customFormat="false" ht="15" hidden="false" customHeight="false" outlineLevel="0" collapsed="false">
      <c r="A26" s="7" t="s">
        <v>39</v>
      </c>
      <c r="B26" s="6" t="s">
        <v>40</v>
      </c>
    </row>
    <row r="27" customFormat="false" ht="15" hidden="false" customHeight="false" outlineLevel="0" collapsed="false">
      <c r="A27" s="7" t="s">
        <v>41</v>
      </c>
      <c r="B27" s="6" t="s">
        <v>42</v>
      </c>
    </row>
    <row r="28" customFormat="false" ht="15" hidden="false" customHeight="false" outlineLevel="0" collapsed="false">
      <c r="A28" s="7" t="s">
        <v>43</v>
      </c>
      <c r="B28" s="6" t="s">
        <v>44</v>
      </c>
    </row>
    <row r="29" customFormat="false" ht="23.85" hidden="false" customHeight="false" outlineLevel="0" collapsed="false">
      <c r="A29" s="7" t="s">
        <v>45</v>
      </c>
      <c r="B29" s="6" t="s">
        <v>46</v>
      </c>
    </row>
    <row r="30" customFormat="false" ht="15" hidden="false" customHeight="false" outlineLevel="0" collapsed="false">
      <c r="A30" s="7" t="s">
        <v>47</v>
      </c>
      <c r="B30" s="6" t="s">
        <v>48</v>
      </c>
    </row>
    <row r="31" customFormat="false" ht="15" hidden="false" customHeight="false" outlineLevel="0" collapsed="false">
      <c r="A31" s="7" t="s">
        <v>49</v>
      </c>
      <c r="B31" s="6" t="s">
        <v>50</v>
      </c>
    </row>
    <row r="33" customFormat="false" ht="57.75" hidden="false" customHeight="true" outlineLevel="0" collapsed="false">
      <c r="A33" s="8" t="s">
        <v>51</v>
      </c>
      <c r="B33" s="8"/>
    </row>
  </sheetData>
  <sheetProtection sheet="true" formatColumns="false" formatRows="false"/>
  <mergeCells count="3">
    <mergeCell ref="A1:B1"/>
    <mergeCell ref="A2:B2"/>
    <mergeCell ref="A33:B3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3" min="2" style="0" width="17"/>
    <col collapsed="false" customWidth="true" hidden="false" outlineLevel="0" max="4" min="4" style="0" width="15"/>
    <col collapsed="false" customWidth="true" hidden="false" outlineLevel="0" max="5" min="5" style="0" width="58"/>
  </cols>
  <sheetData>
    <row r="1" customFormat="false" ht="33.75" hidden="false" customHeight="true" outlineLevel="0" collapsed="false">
      <c r="A1" s="1" t="s">
        <v>52</v>
      </c>
      <c r="B1" s="1"/>
      <c r="C1" s="1"/>
      <c r="D1" s="1"/>
      <c r="E1" s="1"/>
    </row>
    <row r="2" customFormat="false" ht="31.5" hidden="false" customHeight="true" outlineLevel="0" collapsed="false">
      <c r="A2" s="2" t="s">
        <v>53</v>
      </c>
      <c r="B2" s="2"/>
      <c r="C2" s="2"/>
      <c r="D2" s="2"/>
      <c r="E2" s="2"/>
    </row>
    <row r="4" customFormat="false" ht="19.5" hidden="false" customHeight="true" outlineLevel="0" collapsed="false">
      <c r="A4" s="3" t="s">
        <v>54</v>
      </c>
      <c r="B4" s="4"/>
      <c r="C4" s="4"/>
      <c r="D4" s="4"/>
      <c r="E4" s="4"/>
    </row>
    <row r="5" customFormat="false" ht="15" hidden="false" customHeight="true" outlineLevel="0" collapsed="false">
      <c r="A5" s="9" t="s">
        <v>55</v>
      </c>
      <c r="B5" s="10"/>
      <c r="C5" s="8" t="s">
        <v>56</v>
      </c>
      <c r="D5" s="8"/>
      <c r="E5" s="8"/>
    </row>
    <row r="6" customFormat="false" ht="15" hidden="false" customHeight="true" outlineLevel="0" collapsed="false">
      <c r="A6" s="9" t="s">
        <v>57</v>
      </c>
      <c r="B6" s="10"/>
      <c r="C6" s="8" t="s">
        <v>58</v>
      </c>
      <c r="D6" s="8"/>
      <c r="E6" s="8"/>
    </row>
    <row r="7" customFormat="false" ht="15" hidden="false" customHeight="true" outlineLevel="0" collapsed="false">
      <c r="A7" s="9" t="s">
        <v>59</v>
      </c>
      <c r="B7" s="11" t="n">
        <v>1</v>
      </c>
      <c r="C7" s="8" t="s">
        <v>60</v>
      </c>
      <c r="D7" s="8"/>
      <c r="E7" s="8"/>
    </row>
    <row r="8" customFormat="false" ht="15" hidden="false" customHeight="true" outlineLevel="0" collapsed="false">
      <c r="A8" s="9" t="s">
        <v>61</v>
      </c>
      <c r="B8" s="12"/>
      <c r="C8" s="8" t="s">
        <v>62</v>
      </c>
      <c r="D8" s="8"/>
      <c r="E8" s="8"/>
    </row>
    <row r="9" customFormat="false" ht="15" hidden="false" customHeight="true" outlineLevel="0" collapsed="false">
      <c r="A9" s="9" t="s">
        <v>63</v>
      </c>
      <c r="B9" s="11" t="n">
        <v>12</v>
      </c>
      <c r="C9" s="8" t="s">
        <v>64</v>
      </c>
      <c r="D9" s="8"/>
      <c r="E9" s="8"/>
    </row>
    <row r="10" customFormat="false" ht="15" hidden="false" customHeight="true" outlineLevel="0" collapsed="false">
      <c r="A10" s="9" t="s">
        <v>65</v>
      </c>
      <c r="B10" s="13"/>
      <c r="C10" s="8" t="s">
        <v>66</v>
      </c>
      <c r="D10" s="8"/>
      <c r="E10" s="8"/>
    </row>
    <row r="11" customFormat="false" ht="15" hidden="false" customHeight="true" outlineLevel="0" collapsed="false">
      <c r="A11" s="9" t="s">
        <v>67</v>
      </c>
      <c r="B11" s="14"/>
      <c r="C11" s="8" t="s">
        <v>68</v>
      </c>
      <c r="D11" s="8"/>
      <c r="E11" s="8"/>
    </row>
    <row r="12" customFormat="false" ht="15" hidden="false" customHeight="true" outlineLevel="0" collapsed="false">
      <c r="A12" s="9" t="s">
        <v>69</v>
      </c>
      <c r="B12" s="15"/>
      <c r="C12" s="8" t="s">
        <v>70</v>
      </c>
      <c r="D12" s="8"/>
      <c r="E12" s="8"/>
    </row>
    <row r="13" customFormat="false" ht="15" hidden="false" customHeight="true" outlineLevel="0" collapsed="false">
      <c r="A13" s="9" t="s">
        <v>71</v>
      </c>
      <c r="B13" s="15" t="n">
        <v>0.04</v>
      </c>
      <c r="C13" s="8" t="s">
        <v>72</v>
      </c>
      <c r="D13" s="8"/>
      <c r="E13" s="8"/>
    </row>
    <row r="14" customFormat="false" ht="23.85" hidden="false" customHeight="true" outlineLevel="0" collapsed="false">
      <c r="A14" s="9" t="s">
        <v>73</v>
      </c>
      <c r="B14" s="15"/>
      <c r="C14" s="8" t="s">
        <v>74</v>
      </c>
      <c r="D14" s="8"/>
      <c r="E14" s="8"/>
    </row>
    <row r="16" customFormat="false" ht="19.5" hidden="false" customHeight="true" outlineLevel="0" collapsed="false">
      <c r="A16" s="3" t="s">
        <v>75</v>
      </c>
      <c r="B16" s="4"/>
      <c r="C16" s="4"/>
      <c r="D16" s="4"/>
      <c r="E16" s="4"/>
    </row>
    <row r="17" customFormat="false" ht="27.75" hidden="false" customHeight="true" outlineLevel="0" collapsed="false">
      <c r="A17" s="16" t="s">
        <v>76</v>
      </c>
      <c r="B17" s="16" t="s">
        <v>77</v>
      </c>
      <c r="C17" s="16" t="s">
        <v>78</v>
      </c>
      <c r="D17" s="16" t="s">
        <v>79</v>
      </c>
      <c r="E17" s="16" t="s">
        <v>80</v>
      </c>
    </row>
    <row r="18" customFormat="false" ht="15" hidden="false" customHeight="false" outlineLevel="0" collapsed="false">
      <c r="A18" s="9" t="s">
        <v>81</v>
      </c>
      <c r="B18" s="14"/>
      <c r="C18" s="14"/>
      <c r="D18" s="17" t="str">
        <f aca="false">IF(AND(B18=0,C18=0),"",C18-B18)</f>
        <v/>
      </c>
      <c r="E18" s="18" t="s">
        <v>82</v>
      </c>
    </row>
    <row r="19" customFormat="false" ht="15" hidden="false" customHeight="false" outlineLevel="0" collapsed="false">
      <c r="A19" s="9" t="s">
        <v>83</v>
      </c>
      <c r="B19" s="14"/>
      <c r="C19" s="14"/>
      <c r="D19" s="17" t="str">
        <f aca="false">IF(AND(B19=0,C19=0),"",C19-B19)</f>
        <v/>
      </c>
      <c r="E19" s="18" t="s">
        <v>84</v>
      </c>
    </row>
    <row r="20" customFormat="false" ht="15" hidden="false" customHeight="false" outlineLevel="0" collapsed="false">
      <c r="A20" s="9" t="s">
        <v>85</v>
      </c>
      <c r="B20" s="14"/>
      <c r="C20" s="14"/>
      <c r="D20" s="17" t="str">
        <f aca="false">IF(AND(B20=0,C20=0),"",C20-B20)</f>
        <v/>
      </c>
      <c r="E20" s="18" t="s">
        <v>86</v>
      </c>
    </row>
    <row r="21" customFormat="false" ht="15" hidden="false" customHeight="false" outlineLevel="0" collapsed="false">
      <c r="A21" s="9" t="s">
        <v>87</v>
      </c>
      <c r="B21" s="14"/>
      <c r="C21" s="14"/>
      <c r="D21" s="17" t="str">
        <f aca="false">IF(AND(B21=0,C21=0),"",C21-B21)</f>
        <v/>
      </c>
      <c r="E21" s="18" t="s">
        <v>88</v>
      </c>
    </row>
    <row r="22" customFormat="false" ht="15" hidden="false" customHeight="false" outlineLevel="0" collapsed="false">
      <c r="A22" s="9" t="s">
        <v>89</v>
      </c>
      <c r="B22" s="14"/>
      <c r="C22" s="14"/>
      <c r="D22" s="17" t="str">
        <f aca="false">IF(AND(B22=0,C22=0),"",C22-B22)</f>
        <v/>
      </c>
      <c r="E22" s="18" t="s">
        <v>90</v>
      </c>
    </row>
    <row r="23" customFormat="false" ht="15" hidden="false" customHeight="false" outlineLevel="0" collapsed="false">
      <c r="A23" s="19" t="s">
        <v>91</v>
      </c>
      <c r="B23" s="20" t="n">
        <f aca="false">SUM(B18:B22)</f>
        <v>0</v>
      </c>
      <c r="C23" s="20" t="n">
        <f aca="false">SUM(C18:C22)</f>
        <v>0</v>
      </c>
      <c r="D23" s="20" t="n">
        <f aca="false">C23-B23</f>
        <v>0</v>
      </c>
      <c r="E23" s="19"/>
    </row>
    <row r="25" customFormat="false" ht="19.5" hidden="false" customHeight="true" outlineLevel="0" collapsed="false">
      <c r="A25" s="3" t="s">
        <v>92</v>
      </c>
      <c r="B25" s="4"/>
      <c r="C25" s="4"/>
      <c r="D25" s="4"/>
      <c r="E25" s="4"/>
    </row>
    <row r="26" customFormat="false" ht="15" hidden="false" customHeight="false" outlineLevel="0" collapsed="false">
      <c r="A26" s="9" t="s">
        <v>93</v>
      </c>
      <c r="B26" s="14"/>
      <c r="C26" s="14"/>
      <c r="D26" s="17" t="str">
        <f aca="false">IF(AND(B26=0,C26=0),"",C26-B26)</f>
        <v/>
      </c>
      <c r="E26" s="18" t="s">
        <v>94</v>
      </c>
    </row>
    <row r="27" customFormat="false" ht="15" hidden="false" customHeight="false" outlineLevel="0" collapsed="false">
      <c r="A27" s="9" t="s">
        <v>95</v>
      </c>
      <c r="B27" s="14"/>
      <c r="C27" s="14"/>
      <c r="D27" s="17" t="str">
        <f aca="false">IF(AND(B27=0,C27=0),"",C27-B27)</f>
        <v/>
      </c>
      <c r="E27" s="18" t="s">
        <v>96</v>
      </c>
    </row>
    <row r="28" customFormat="false" ht="15" hidden="false" customHeight="false" outlineLevel="0" collapsed="false">
      <c r="A28" s="9" t="s">
        <v>97</v>
      </c>
      <c r="B28" s="14"/>
      <c r="C28" s="14"/>
      <c r="D28" s="17" t="str">
        <f aca="false">IF(AND(B28=0,C28=0),"",C28-B28)</f>
        <v/>
      </c>
      <c r="E28" s="18" t="s">
        <v>98</v>
      </c>
    </row>
    <row r="29" customFormat="false" ht="15" hidden="false" customHeight="false" outlineLevel="0" collapsed="false">
      <c r="A29" s="9" t="s">
        <v>99</v>
      </c>
      <c r="B29" s="14"/>
      <c r="C29" s="14"/>
      <c r="D29" s="17" t="str">
        <f aca="false">IF(AND(B29=0,C29=0),"",C29-B29)</f>
        <v/>
      </c>
      <c r="E29" s="18" t="s">
        <v>100</v>
      </c>
    </row>
    <row r="30" customFormat="false" ht="23.85" hidden="false" customHeight="false" outlineLevel="0" collapsed="false">
      <c r="A30" s="9" t="s">
        <v>101</v>
      </c>
      <c r="B30" s="14"/>
      <c r="C30" s="14"/>
      <c r="D30" s="17" t="str">
        <f aca="false">IF(AND(B30=0,C30=0),"",C30-B30)</f>
        <v/>
      </c>
      <c r="E30" s="18" t="s">
        <v>102</v>
      </c>
    </row>
    <row r="31" customFormat="false" ht="15" hidden="false" customHeight="false" outlineLevel="0" collapsed="false">
      <c r="A31" s="9" t="s">
        <v>103</v>
      </c>
      <c r="B31" s="14"/>
      <c r="C31" s="14"/>
      <c r="D31" s="17" t="str">
        <f aca="false">IF(AND(B31=0,C31=0),"",C31-B31)</f>
        <v/>
      </c>
      <c r="E31" s="18" t="s">
        <v>104</v>
      </c>
    </row>
    <row r="32" customFormat="false" ht="15" hidden="false" customHeight="false" outlineLevel="0" collapsed="false">
      <c r="A32" s="9" t="s">
        <v>105</v>
      </c>
      <c r="B32" s="14"/>
      <c r="C32" s="14"/>
      <c r="D32" s="17" t="str">
        <f aca="false">IF(AND(B32=0,C32=0),"",C32-B32)</f>
        <v/>
      </c>
      <c r="E32" s="18" t="s">
        <v>106</v>
      </c>
    </row>
    <row r="33" customFormat="false" ht="15" hidden="false" customHeight="false" outlineLevel="0" collapsed="false">
      <c r="A33" s="9" t="s">
        <v>107</v>
      </c>
      <c r="B33" s="14"/>
      <c r="C33" s="14"/>
      <c r="D33" s="17" t="str">
        <f aca="false">IF(AND(B33=0,C33=0),"",C33-B33)</f>
        <v/>
      </c>
      <c r="E33" s="18" t="s">
        <v>108</v>
      </c>
    </row>
    <row r="34" customFormat="false" ht="15" hidden="false" customHeight="false" outlineLevel="0" collapsed="false">
      <c r="A34" s="9" t="s">
        <v>109</v>
      </c>
      <c r="B34" s="14"/>
      <c r="C34" s="14"/>
      <c r="D34" s="17" t="str">
        <f aca="false">IF(AND(B34=0,C34=0),"",C34-B34)</f>
        <v/>
      </c>
      <c r="E34" s="18" t="s">
        <v>110</v>
      </c>
    </row>
    <row r="35" customFormat="false" ht="15" hidden="false" customHeight="false" outlineLevel="0" collapsed="false">
      <c r="A35" s="9" t="s">
        <v>111</v>
      </c>
      <c r="B35" s="14"/>
      <c r="C35" s="14"/>
      <c r="D35" s="17" t="str">
        <f aca="false">IF(AND(B35=0,C35=0),"",C35-B35)</f>
        <v/>
      </c>
      <c r="E35" s="18" t="s">
        <v>112</v>
      </c>
    </row>
    <row r="36" customFormat="false" ht="15" hidden="false" customHeight="false" outlineLevel="0" collapsed="false">
      <c r="A36" s="9" t="s">
        <v>113</v>
      </c>
      <c r="B36" s="14"/>
      <c r="C36" s="14"/>
      <c r="D36" s="17" t="str">
        <f aca="false">IF(AND(B36=0,C36=0),"",C36-B36)</f>
        <v/>
      </c>
      <c r="E36" s="18" t="s">
        <v>114</v>
      </c>
    </row>
    <row r="37" customFormat="false" ht="15" hidden="false" customHeight="false" outlineLevel="0" collapsed="false">
      <c r="A37" s="9" t="s">
        <v>115</v>
      </c>
      <c r="B37" s="14"/>
      <c r="C37" s="14"/>
      <c r="D37" s="17" t="str">
        <f aca="false">IF(AND(B37=0,C37=0),"",C37-B37)</f>
        <v/>
      </c>
      <c r="E37" s="18" t="s">
        <v>116</v>
      </c>
    </row>
    <row r="38" customFormat="false" ht="23.85" hidden="false" customHeight="false" outlineLevel="0" collapsed="false">
      <c r="A38" s="9" t="s">
        <v>117</v>
      </c>
      <c r="B38" s="14"/>
      <c r="C38" s="14"/>
      <c r="D38" s="17" t="str">
        <f aca="false">IF(AND(B38=0,C38=0),"",C38-B38)</f>
        <v/>
      </c>
      <c r="E38" s="18" t="s">
        <v>118</v>
      </c>
    </row>
    <row r="39" customFormat="false" ht="23.85" hidden="false" customHeight="false" outlineLevel="0" collapsed="false">
      <c r="A39" s="9" t="s">
        <v>119</v>
      </c>
      <c r="B39" s="14"/>
      <c r="C39" s="14"/>
      <c r="D39" s="17" t="str">
        <f aca="false">IF(AND(B39=0,C39=0),"",C39-B39)</f>
        <v/>
      </c>
      <c r="E39" s="18" t="s">
        <v>120</v>
      </c>
    </row>
    <row r="40" customFormat="false" ht="15" hidden="false" customHeight="false" outlineLevel="0" collapsed="false">
      <c r="A40" s="9" t="s">
        <v>121</v>
      </c>
      <c r="B40" s="14"/>
      <c r="C40" s="14"/>
      <c r="D40" s="17" t="str">
        <f aca="false">IF(AND(B40=0,C40=0),"",C40-B40)</f>
        <v/>
      </c>
      <c r="E40" s="18" t="s">
        <v>122</v>
      </c>
    </row>
    <row r="41" customFormat="false" ht="15" hidden="false" customHeight="false" outlineLevel="0" collapsed="false">
      <c r="A41" s="9" t="s">
        <v>123</v>
      </c>
      <c r="B41" s="14"/>
      <c r="C41" s="14"/>
      <c r="D41" s="17" t="str">
        <f aca="false">IF(AND(B41=0,C41=0),"",C41-B41)</f>
        <v/>
      </c>
      <c r="E41" s="18" t="s">
        <v>124</v>
      </c>
    </row>
    <row r="42" customFormat="false" ht="15" hidden="false" customHeight="false" outlineLevel="0" collapsed="false">
      <c r="A42" s="18" t="s">
        <v>125</v>
      </c>
      <c r="B42" s="14"/>
      <c r="C42" s="14"/>
      <c r="D42" s="17" t="str">
        <f aca="false">IF(AND(B42=0,C42=0),"",C42-B42)</f>
        <v/>
      </c>
      <c r="E42" s="18" t="s">
        <v>126</v>
      </c>
    </row>
    <row r="43" customFormat="false" ht="15" hidden="false" customHeight="false" outlineLevel="0" collapsed="false">
      <c r="A43" s="18" t="s">
        <v>127</v>
      </c>
      <c r="B43" s="14"/>
      <c r="C43" s="14"/>
      <c r="D43" s="17" t="str">
        <f aca="false">IF(AND(B43=0,C43=0),"",C43-B43)</f>
        <v/>
      </c>
      <c r="E43" s="18" t="s">
        <v>128</v>
      </c>
    </row>
    <row r="44" customFormat="false" ht="15" hidden="false" customHeight="false" outlineLevel="0" collapsed="false">
      <c r="A44" s="19" t="s">
        <v>129</v>
      </c>
      <c r="B44" s="20" t="n">
        <f aca="false">SUM(B26:B43)</f>
        <v>0</v>
      </c>
      <c r="C44" s="20" t="n">
        <f aca="false">SUM(C26:C43)</f>
        <v>0</v>
      </c>
      <c r="D44" s="20" t="n">
        <f aca="false">C44-B44</f>
        <v>0</v>
      </c>
      <c r="E44" s="19"/>
    </row>
    <row r="46" customFormat="false" ht="19.5" hidden="false" customHeight="true" outlineLevel="0" collapsed="false">
      <c r="A46" s="3" t="s">
        <v>130</v>
      </c>
      <c r="B46" s="4"/>
      <c r="C46" s="4"/>
      <c r="D46" s="4"/>
      <c r="E46" s="4"/>
    </row>
    <row r="47" customFormat="false" ht="23.85" hidden="false" customHeight="false" outlineLevel="0" collapsed="false">
      <c r="A47" s="9" t="s">
        <v>131</v>
      </c>
      <c r="B47" s="14"/>
      <c r="C47" s="14"/>
      <c r="D47" s="17" t="str">
        <f aca="false">IF(AND(B47=0,C47=0),"",C47-B47)</f>
        <v/>
      </c>
      <c r="E47" s="18" t="s">
        <v>132</v>
      </c>
    </row>
    <row r="48" customFormat="false" ht="22.35" hidden="false" customHeight="false" outlineLevel="0" collapsed="false">
      <c r="A48" s="21" t="s">
        <v>133</v>
      </c>
      <c r="C48" s="22" t="n">
        <f aca="false">Reserves!$C$25</f>
        <v>0</v>
      </c>
      <c r="D48" s="17" t="str">
        <f aca="false">IF(OR(C48=0,C47=0),"",C47-C48)</f>
        <v/>
      </c>
      <c r="E48" s="21" t="s">
        <v>134</v>
      </c>
    </row>
    <row r="49" customFormat="false" ht="23.85" hidden="false" customHeight="false" outlineLevel="0" collapsed="false">
      <c r="A49" s="9" t="s">
        <v>135</v>
      </c>
      <c r="B49" s="14"/>
      <c r="C49" s="23"/>
      <c r="D49" s="17" t="str">
        <f aca="false">IF(AND(B49=0,C49=0),"",C49-B49)</f>
        <v/>
      </c>
      <c r="E49" s="18" t="s">
        <v>136</v>
      </c>
    </row>
    <row r="50" customFormat="false" ht="15" hidden="false" customHeight="false" outlineLevel="0" collapsed="false">
      <c r="A50" s="24" t="s">
        <v>137</v>
      </c>
      <c r="B50" s="14"/>
      <c r="C50" s="17" t="n">
        <f aca="false">ROUND(C44*$B$13,0)</f>
        <v>0</v>
      </c>
      <c r="D50" s="17" t="str">
        <f aca="false">IF(AND(B50=0,C50=0),"",C50-B50)</f>
        <v/>
      </c>
      <c r="E50" s="21" t="s">
        <v>138</v>
      </c>
    </row>
    <row r="51" customFormat="false" ht="22.35" hidden="false" customHeight="false" outlineLevel="0" collapsed="false">
      <c r="A51" s="9" t="s">
        <v>139</v>
      </c>
      <c r="B51" s="14"/>
      <c r="C51" s="22" t="n">
        <f aca="false">Reserves!$C$42</f>
        <v>0</v>
      </c>
      <c r="D51" s="17" t="str">
        <f aca="false">IF(AND(B51=0,C51=0),"",C51-B51)</f>
        <v/>
      </c>
      <c r="E51" s="21" t="s">
        <v>140</v>
      </c>
    </row>
    <row r="52" customFormat="false" ht="15" hidden="false" customHeight="false" outlineLevel="0" collapsed="false">
      <c r="A52" s="19" t="s">
        <v>141</v>
      </c>
      <c r="B52" s="20" t="n">
        <f aca="false">B47+B49+B50+B51</f>
        <v>0</v>
      </c>
      <c r="C52" s="20" t="n">
        <f aca="false">C47+C49+C50+C51</f>
        <v>0</v>
      </c>
      <c r="D52" s="20" t="n">
        <f aca="false">C52-B52</f>
        <v>0</v>
      </c>
      <c r="E52" s="19"/>
    </row>
    <row r="54" customFormat="false" ht="19.5" hidden="false" customHeight="true" outlineLevel="0" collapsed="false">
      <c r="A54" s="25" t="s">
        <v>142</v>
      </c>
      <c r="B54" s="26"/>
      <c r="C54" s="26"/>
      <c r="D54" s="26"/>
      <c r="E54" s="26"/>
    </row>
    <row r="55" customFormat="false" ht="23.85" hidden="false" customHeight="false" outlineLevel="0" collapsed="false">
      <c r="A55" s="9" t="s">
        <v>143</v>
      </c>
      <c r="C55" s="17" t="n">
        <f aca="false">C44+C52</f>
        <v>0</v>
      </c>
      <c r="D55" s="8"/>
      <c r="E55" s="8"/>
    </row>
    <row r="56" customFormat="false" ht="15" hidden="false" customHeight="false" outlineLevel="0" collapsed="false">
      <c r="A56" s="9" t="s">
        <v>144</v>
      </c>
      <c r="C56" s="17" t="n">
        <f aca="false">-C23</f>
        <v>-0</v>
      </c>
      <c r="D56" s="8"/>
      <c r="E56" s="8"/>
    </row>
    <row r="57" customFormat="false" ht="15" hidden="false" customHeight="true" outlineLevel="0" collapsed="false">
      <c r="A57" s="27" t="s">
        <v>145</v>
      </c>
      <c r="C57" s="28" t="n">
        <f aca="false">C55+C56</f>
        <v>0</v>
      </c>
      <c r="D57" s="8" t="s">
        <v>146</v>
      </c>
      <c r="E57" s="8"/>
    </row>
    <row r="58" customFormat="false" ht="15" hidden="false" customHeight="false" outlineLevel="0" collapsed="false">
      <c r="A58" s="9" t="s">
        <v>147</v>
      </c>
      <c r="C58" s="29" t="str">
        <f aca="false">IF($B$8=0,"",C57/$B$8)</f>
        <v/>
      </c>
      <c r="D58" s="8"/>
      <c r="E58" s="8"/>
    </row>
    <row r="59" customFormat="false" ht="15" hidden="false" customHeight="true" outlineLevel="0" collapsed="false">
      <c r="A59" s="9" t="s">
        <v>148</v>
      </c>
      <c r="C59" s="29" t="str">
        <f aca="false">IF(OR($B$8=0,$B$9=0),"",C57/$B$8/$B$9)</f>
        <v/>
      </c>
      <c r="D59" s="8" t="s">
        <v>149</v>
      </c>
      <c r="E59" s="8"/>
    </row>
    <row r="60" customFormat="false" ht="15" hidden="false" customHeight="true" outlineLevel="0" collapsed="false">
      <c r="A60" s="30" t="s">
        <v>150</v>
      </c>
      <c r="B60" s="31"/>
      <c r="C60" s="32" t="str">
        <f aca="false">IF(C59="","",C59/(1-$B$14))</f>
        <v/>
      </c>
      <c r="D60" s="8" t="s">
        <v>151</v>
      </c>
      <c r="E60" s="8"/>
    </row>
    <row r="61" customFormat="false" ht="15" hidden="false" customHeight="false" outlineLevel="0" collapsed="false">
      <c r="A61" s="9" t="s">
        <v>152</v>
      </c>
      <c r="C61" s="29" t="str">
        <f aca="false">IF(OR(C60="",$B$10=0),"",C60-$B$10)</f>
        <v/>
      </c>
      <c r="D61" s="8"/>
      <c r="E61" s="8"/>
    </row>
    <row r="62" customFormat="false" ht="15" hidden="false" customHeight="true" outlineLevel="0" collapsed="false">
      <c r="A62" s="9" t="s">
        <v>153</v>
      </c>
      <c r="C62" s="33" t="str">
        <f aca="false">IF(OR(C60="",$B$10=0),"",C60/$B$10-1)</f>
        <v/>
      </c>
      <c r="D62" s="8" t="s">
        <v>154</v>
      </c>
      <c r="E62" s="8"/>
    </row>
    <row r="63" customFormat="false" ht="22.35" hidden="false" customHeight="true" outlineLevel="0" collapsed="false">
      <c r="A63" s="9" t="s">
        <v>155</v>
      </c>
      <c r="C63" s="24" t="str">
        <f aca="false">IF(C62="","",IF($B$12="","No cap entered",IF(C62&lt;=$B$12,"Yes","Over the cap — check your documents")))</f>
        <v/>
      </c>
      <c r="D63" s="8" t="s">
        <v>156</v>
      </c>
      <c r="E63" s="8"/>
    </row>
    <row r="65" customFormat="false" ht="19.5" hidden="false" customHeight="true" outlineLevel="0" collapsed="false">
      <c r="A65" s="25" t="s">
        <v>157</v>
      </c>
      <c r="B65" s="26"/>
      <c r="C65" s="26"/>
      <c r="D65" s="26"/>
      <c r="E65" s="26"/>
    </row>
    <row r="66" customFormat="false" ht="25.5" hidden="false" customHeight="true" outlineLevel="0" collapsed="false">
      <c r="A66" s="8" t="s">
        <v>158</v>
      </c>
      <c r="B66" s="8"/>
      <c r="C66" s="8"/>
      <c r="D66" s="8"/>
      <c r="E66" s="8"/>
    </row>
    <row r="67" customFormat="false" ht="15" hidden="false" customHeight="false" outlineLevel="0" collapsed="false">
      <c r="A67" s="34"/>
      <c r="B67" s="35" t="s">
        <v>159</v>
      </c>
      <c r="C67" s="35" t="s">
        <v>160</v>
      </c>
    </row>
    <row r="68" customFormat="false" ht="15" hidden="false" customHeight="false" outlineLevel="0" collapsed="false">
      <c r="A68" s="24" t="s">
        <v>161</v>
      </c>
      <c r="B68" s="29" t="str">
        <f aca="false">IF(C$60="","",IF($B$12="",C$60,MIN(C$60,$B$10*(1+$B$12))))</f>
        <v/>
      </c>
      <c r="C68" s="17" t="str">
        <f aca="false">IF(B68="","",(C$60-B68)*$B$8*$B$9)</f>
        <v/>
      </c>
    </row>
    <row r="69" customFormat="false" ht="15" hidden="false" customHeight="false" outlineLevel="0" collapsed="false">
      <c r="A69" s="24" t="s">
        <v>162</v>
      </c>
      <c r="B69" s="29" t="str">
        <f aca="false">IF(C$60="","",IF($B$12="",C$60,MIN(C$60,B68*(1+$B$12))))</f>
        <v/>
      </c>
      <c r="C69" s="17" t="str">
        <f aca="false">IF(B69="","",(C$60-B69)*$B$8*$B$9)</f>
        <v/>
      </c>
    </row>
    <row r="70" customFormat="false" ht="15" hidden="false" customHeight="false" outlineLevel="0" collapsed="false">
      <c r="A70" s="24" t="s">
        <v>163</v>
      </c>
      <c r="B70" s="29" t="str">
        <f aca="false">IF(C$60="","",IF($B$12="",C$60,MIN(C$60,B69*(1+$B$12))))</f>
        <v/>
      </c>
      <c r="C70" s="17" t="str">
        <f aca="false">IF(B70="","",(C$60-B70)*$B$8*$B$9)</f>
        <v/>
      </c>
    </row>
    <row r="72" customFormat="false" ht="39.75" hidden="false" customHeight="true" outlineLevel="0" collapsed="false">
      <c r="A72" s="8" t="s">
        <v>164</v>
      </c>
      <c r="B72" s="8"/>
      <c r="C72" s="8"/>
      <c r="D72" s="8"/>
      <c r="E72" s="8"/>
    </row>
  </sheetData>
  <sheetProtection sheet="true" formatColumns="false" formatRows="false"/>
  <mergeCells count="23">
    <mergeCell ref="A1:E1"/>
    <mergeCell ref="A2:E2"/>
    <mergeCell ref="C5:E5"/>
    <mergeCell ref="C6:E6"/>
    <mergeCell ref="C7:E7"/>
    <mergeCell ref="C8:E8"/>
    <mergeCell ref="C9:E9"/>
    <mergeCell ref="C10:E10"/>
    <mergeCell ref="C11:E11"/>
    <mergeCell ref="C12:E12"/>
    <mergeCell ref="C13:E13"/>
    <mergeCell ref="C14:E14"/>
    <mergeCell ref="D55:E55"/>
    <mergeCell ref="D56:E56"/>
    <mergeCell ref="D57:E57"/>
    <mergeCell ref="D58:E58"/>
    <mergeCell ref="D59:E59"/>
    <mergeCell ref="D60:E60"/>
    <mergeCell ref="D61:E61"/>
    <mergeCell ref="D62:E62"/>
    <mergeCell ref="D63:E63"/>
    <mergeCell ref="A66:E66"/>
    <mergeCell ref="A72:E72"/>
  </mergeCells>
  <dataValidations count="2">
    <dataValidation allowBlank="false" errorStyle="stop" operator="between" showDropDown="false" showErrorMessage="false" showInputMessage="false" sqref="B9" type="list">
      <formula1>"12,4,2,1"</formula1>
      <formula2>0</formula2>
    </dataValidation>
    <dataValidation allowBlank="false" errorStyle="stop" operator="between" showDropDown="false" showErrorMessage="false" showInputMessage="false" sqref="B7"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4" min="3" style="0" width="13"/>
    <col collapsed="false" customWidth="true" hidden="false" outlineLevel="0" max="5" min="5" style="0" width="15"/>
    <col collapsed="false" customWidth="true" hidden="false" outlineLevel="0" max="6" min="6" style="0" width="17"/>
    <col collapsed="false" customWidth="true" hidden="false" outlineLevel="0" max="7" min="7" style="0" width="40"/>
  </cols>
  <sheetData>
    <row r="1" customFormat="false" ht="33.75" hidden="false" customHeight="true" outlineLevel="0" collapsed="false">
      <c r="A1" s="1" t="s">
        <v>16</v>
      </c>
      <c r="B1" s="1"/>
      <c r="C1" s="1"/>
      <c r="D1" s="1"/>
      <c r="E1" s="1"/>
      <c r="F1" s="1"/>
      <c r="G1" s="1"/>
    </row>
    <row r="2" customFormat="false" ht="31.5" hidden="false" customHeight="true" outlineLevel="0" collapsed="false">
      <c r="A2" s="2" t="s">
        <v>165</v>
      </c>
      <c r="B2" s="2"/>
      <c r="C2" s="2"/>
      <c r="D2" s="2"/>
      <c r="E2" s="2"/>
      <c r="F2" s="2"/>
      <c r="G2" s="2"/>
    </row>
    <row r="4" customFormat="false" ht="19.5" hidden="false" customHeight="true" outlineLevel="0" collapsed="false">
      <c r="A4" s="3" t="s">
        <v>166</v>
      </c>
      <c r="B4" s="4"/>
      <c r="C4" s="4"/>
      <c r="D4" s="4"/>
      <c r="E4" s="4"/>
      <c r="F4" s="4"/>
      <c r="G4" s="4"/>
    </row>
    <row r="5" customFormat="false" ht="30" hidden="false" customHeight="true" outlineLevel="0" collapsed="false">
      <c r="A5" s="16" t="s">
        <v>167</v>
      </c>
      <c r="B5" s="16" t="s">
        <v>168</v>
      </c>
      <c r="C5" s="16" t="s">
        <v>169</v>
      </c>
      <c r="D5" s="16" t="s">
        <v>170</v>
      </c>
      <c r="E5" s="16" t="s">
        <v>171</v>
      </c>
      <c r="F5" s="16" t="s">
        <v>172</v>
      </c>
      <c r="G5" s="16" t="s">
        <v>173</v>
      </c>
    </row>
    <row r="6" customFormat="false" ht="15" hidden="false" customHeight="false" outlineLevel="0" collapsed="false">
      <c r="A6" s="10"/>
      <c r="B6" s="14"/>
      <c r="C6" s="11"/>
      <c r="D6" s="11"/>
      <c r="E6" s="17" t="str">
        <f aca="false">IF(OR(C6="",C6=0),"",B6/C6)</f>
        <v/>
      </c>
      <c r="F6" s="17" t="str">
        <f aca="false">IF(OR(C6="",C6=0),"",B6*MAX(0,MIN(1,(C6-D6)/C6)))</f>
        <v/>
      </c>
      <c r="G6" s="18"/>
    </row>
    <row r="7" customFormat="false" ht="15" hidden="false" customHeight="false" outlineLevel="0" collapsed="false">
      <c r="A7" s="10"/>
      <c r="B7" s="14"/>
      <c r="C7" s="11"/>
      <c r="D7" s="11"/>
      <c r="E7" s="17" t="str">
        <f aca="false">IF(OR(C7="",C7=0),"",B7/C7)</f>
        <v/>
      </c>
      <c r="F7" s="17" t="str">
        <f aca="false">IF(OR(C7="",C7=0),"",B7*MAX(0,MIN(1,(C7-D7)/C7)))</f>
        <v/>
      </c>
      <c r="G7" s="18"/>
    </row>
    <row r="8" customFormat="false" ht="15" hidden="false" customHeight="false" outlineLevel="0" collapsed="false">
      <c r="A8" s="10"/>
      <c r="B8" s="14"/>
      <c r="C8" s="11"/>
      <c r="D8" s="11"/>
      <c r="E8" s="17" t="str">
        <f aca="false">IF(OR(C8="",C8=0),"",B8/C8)</f>
        <v/>
      </c>
      <c r="F8" s="17" t="str">
        <f aca="false">IF(OR(C8="",C8=0),"",B8*MAX(0,MIN(1,(C8-D8)/C8)))</f>
        <v/>
      </c>
      <c r="G8" s="18"/>
    </row>
    <row r="9" customFormat="false" ht="15" hidden="false" customHeight="false" outlineLevel="0" collapsed="false">
      <c r="A9" s="10"/>
      <c r="B9" s="14"/>
      <c r="C9" s="11"/>
      <c r="D9" s="11"/>
      <c r="E9" s="17" t="str">
        <f aca="false">IF(OR(C9="",C9=0),"",B9/C9)</f>
        <v/>
      </c>
      <c r="F9" s="17" t="str">
        <f aca="false">IF(OR(C9="",C9=0),"",B9*MAX(0,MIN(1,(C9-D9)/C9)))</f>
        <v/>
      </c>
      <c r="G9" s="18"/>
    </row>
    <row r="10" customFormat="false" ht="15" hidden="false" customHeight="false" outlineLevel="0" collapsed="false">
      <c r="A10" s="10"/>
      <c r="B10" s="14"/>
      <c r="C10" s="11"/>
      <c r="D10" s="11"/>
      <c r="E10" s="17" t="str">
        <f aca="false">IF(OR(C10="",C10=0),"",B10/C10)</f>
        <v/>
      </c>
      <c r="F10" s="17" t="str">
        <f aca="false">IF(OR(C10="",C10=0),"",B10*MAX(0,MIN(1,(C10-D10)/C10)))</f>
        <v/>
      </c>
      <c r="G10" s="18"/>
    </row>
    <row r="11" customFormat="false" ht="15" hidden="false" customHeight="false" outlineLevel="0" collapsed="false">
      <c r="A11" s="10"/>
      <c r="B11" s="14"/>
      <c r="C11" s="11"/>
      <c r="D11" s="11"/>
      <c r="E11" s="17" t="str">
        <f aca="false">IF(OR(C11="",C11=0),"",B11/C11)</f>
        <v/>
      </c>
      <c r="F11" s="17" t="str">
        <f aca="false">IF(OR(C11="",C11=0),"",B11*MAX(0,MIN(1,(C11-D11)/C11)))</f>
        <v/>
      </c>
      <c r="G11" s="18"/>
    </row>
    <row r="12" customFormat="false" ht="15" hidden="false" customHeight="false" outlineLevel="0" collapsed="false">
      <c r="A12" s="10"/>
      <c r="B12" s="14"/>
      <c r="C12" s="11"/>
      <c r="D12" s="11"/>
      <c r="E12" s="17" t="str">
        <f aca="false">IF(OR(C12="",C12=0),"",B12/C12)</f>
        <v/>
      </c>
      <c r="F12" s="17" t="str">
        <f aca="false">IF(OR(C12="",C12=0),"",B12*MAX(0,MIN(1,(C12-D12)/C12)))</f>
        <v/>
      </c>
      <c r="G12" s="18"/>
    </row>
    <row r="13" customFormat="false" ht="15" hidden="false" customHeight="false" outlineLevel="0" collapsed="false">
      <c r="A13" s="10"/>
      <c r="B13" s="14"/>
      <c r="C13" s="11"/>
      <c r="D13" s="11"/>
      <c r="E13" s="17" t="str">
        <f aca="false">IF(OR(C13="",C13=0),"",B13/C13)</f>
        <v/>
      </c>
      <c r="F13" s="17" t="str">
        <f aca="false">IF(OR(C13="",C13=0),"",B13*MAX(0,MIN(1,(C13-D13)/C13)))</f>
        <v/>
      </c>
      <c r="G13" s="18"/>
    </row>
    <row r="14" customFormat="false" ht="15" hidden="false" customHeight="false" outlineLevel="0" collapsed="false">
      <c r="A14" s="10"/>
      <c r="B14" s="14"/>
      <c r="C14" s="11"/>
      <c r="D14" s="11"/>
      <c r="E14" s="17" t="str">
        <f aca="false">IF(OR(C14="",C14=0),"",B14/C14)</f>
        <v/>
      </c>
      <c r="F14" s="17" t="str">
        <f aca="false">IF(OR(C14="",C14=0),"",B14*MAX(0,MIN(1,(C14-D14)/C14)))</f>
        <v/>
      </c>
      <c r="G14" s="18"/>
    </row>
    <row r="15" customFormat="false" ht="15" hidden="false" customHeight="false" outlineLevel="0" collapsed="false">
      <c r="A15" s="10"/>
      <c r="B15" s="14"/>
      <c r="C15" s="11"/>
      <c r="D15" s="11"/>
      <c r="E15" s="17" t="str">
        <f aca="false">IF(OR(C15="",C15=0),"",B15/C15)</f>
        <v/>
      </c>
      <c r="F15" s="17" t="str">
        <f aca="false">IF(OR(C15="",C15=0),"",B15*MAX(0,MIN(1,(C15-D15)/C15)))</f>
        <v/>
      </c>
      <c r="G15" s="18"/>
    </row>
    <row r="16" customFormat="false" ht="15" hidden="false" customHeight="false" outlineLevel="0" collapsed="false">
      <c r="A16" s="10"/>
      <c r="B16" s="14"/>
      <c r="C16" s="11"/>
      <c r="D16" s="11"/>
      <c r="E16" s="17" t="str">
        <f aca="false">IF(OR(C16="",C16=0),"",B16/C16)</f>
        <v/>
      </c>
      <c r="F16" s="17" t="str">
        <f aca="false">IF(OR(C16="",C16=0),"",B16*MAX(0,MIN(1,(C16-D16)/C16)))</f>
        <v/>
      </c>
      <c r="G16" s="18"/>
    </row>
    <row r="17" customFormat="false" ht="15" hidden="false" customHeight="false" outlineLevel="0" collapsed="false">
      <c r="A17" s="10"/>
      <c r="B17" s="14"/>
      <c r="C17" s="11"/>
      <c r="D17" s="11"/>
      <c r="E17" s="17" t="str">
        <f aca="false">IF(OR(C17="",C17=0),"",B17/C17)</f>
        <v/>
      </c>
      <c r="F17" s="17" t="str">
        <f aca="false">IF(OR(C17="",C17=0),"",B17*MAX(0,MIN(1,(C17-D17)/C17)))</f>
        <v/>
      </c>
      <c r="G17" s="18"/>
    </row>
    <row r="18" customFormat="false" ht="25.5" hidden="false" customHeight="true" outlineLevel="0" collapsed="false">
      <c r="A18" s="8" t="s">
        <v>174</v>
      </c>
      <c r="B18" s="8"/>
      <c r="C18" s="8"/>
      <c r="D18" s="8"/>
      <c r="E18" s="8"/>
      <c r="F18" s="8"/>
      <c r="G18" s="8"/>
    </row>
    <row r="20" customFormat="false" ht="19.5" hidden="false" customHeight="true" outlineLevel="0" collapsed="false">
      <c r="A20" s="3" t="s">
        <v>175</v>
      </c>
      <c r="B20" s="4"/>
      <c r="C20" s="4"/>
      <c r="D20" s="4"/>
      <c r="E20" s="4"/>
      <c r="F20" s="4"/>
      <c r="G20" s="4"/>
    </row>
    <row r="21" customFormat="false" ht="15" hidden="false" customHeight="true" outlineLevel="0" collapsed="false">
      <c r="A21" s="24" t="s">
        <v>176</v>
      </c>
      <c r="C21" s="14"/>
      <c r="D21" s="8" t="s">
        <v>177</v>
      </c>
      <c r="E21" s="8"/>
      <c r="F21" s="8"/>
      <c r="G21" s="8"/>
    </row>
    <row r="22" customFormat="false" ht="15" hidden="false" customHeight="true" outlineLevel="0" collapsed="false">
      <c r="A22" s="24" t="s">
        <v>178</v>
      </c>
      <c r="C22" s="17" t="n">
        <f aca="false">SUM(F6:F17)</f>
        <v>0</v>
      </c>
      <c r="D22" s="8" t="s">
        <v>179</v>
      </c>
      <c r="E22" s="8"/>
      <c r="F22" s="8"/>
      <c r="G22" s="8"/>
    </row>
    <row r="23" customFormat="false" ht="15" hidden="false" customHeight="true" outlineLevel="0" collapsed="false">
      <c r="A23" s="24" t="s">
        <v>180</v>
      </c>
      <c r="C23" s="33" t="str">
        <f aca="false">IF(C22=0,"",C21/C22)</f>
        <v/>
      </c>
      <c r="D23" s="8" t="s">
        <v>181</v>
      </c>
      <c r="E23" s="8"/>
      <c r="F23" s="8"/>
      <c r="G23" s="8"/>
    </row>
    <row r="24" customFormat="false" ht="15" hidden="false" customHeight="true" outlineLevel="0" collapsed="false">
      <c r="A24" s="24" t="s">
        <v>182</v>
      </c>
      <c r="C24" s="36" t="n">
        <v>10</v>
      </c>
      <c r="D24" s="8" t="s">
        <v>183</v>
      </c>
      <c r="E24" s="8"/>
      <c r="F24" s="8"/>
      <c r="G24" s="8"/>
    </row>
    <row r="25" customFormat="false" ht="22.35" hidden="false" customHeight="true" outlineLevel="0" collapsed="false">
      <c r="A25" s="19" t="s">
        <v>184</v>
      </c>
      <c r="C25" s="20" t="n">
        <f aca="false">SUM(E6:E17)+IF(C24=0,0,MAX(0,C22-C21)/C24)</f>
        <v>0</v>
      </c>
      <c r="D25" s="8" t="s">
        <v>185</v>
      </c>
      <c r="E25" s="8"/>
      <c r="F25" s="8"/>
      <c r="G25" s="8"/>
    </row>
    <row r="28" customFormat="false" ht="19.5" hidden="false" customHeight="true" outlineLevel="0" collapsed="false">
      <c r="A28" s="3" t="s">
        <v>186</v>
      </c>
      <c r="B28" s="4"/>
      <c r="C28" s="4"/>
      <c r="D28" s="4"/>
      <c r="E28" s="4"/>
      <c r="F28" s="4"/>
      <c r="G28" s="4"/>
    </row>
    <row r="29" customFormat="false" ht="30" hidden="false" customHeight="true" outlineLevel="0" collapsed="false">
      <c r="A29" s="16" t="s">
        <v>187</v>
      </c>
      <c r="B29" s="16" t="s">
        <v>188</v>
      </c>
      <c r="C29" s="16" t="s">
        <v>189</v>
      </c>
      <c r="E29" s="16" t="s">
        <v>190</v>
      </c>
    </row>
    <row r="30" customFormat="false" ht="15" hidden="false" customHeight="false" outlineLevel="0" collapsed="false">
      <c r="A30" s="10"/>
      <c r="B30" s="14"/>
      <c r="C30" s="10"/>
      <c r="E30" s="17" t="n">
        <f aca="false">IF(C30="Operating",B30,0)</f>
        <v>0</v>
      </c>
    </row>
    <row r="31" customFormat="false" ht="15" hidden="false" customHeight="false" outlineLevel="0" collapsed="false">
      <c r="A31" s="10"/>
      <c r="B31" s="14"/>
      <c r="C31" s="10"/>
      <c r="E31" s="17" t="n">
        <f aca="false">IF(C31="Operating",B31,0)</f>
        <v>0</v>
      </c>
    </row>
    <row r="32" customFormat="false" ht="15" hidden="false" customHeight="false" outlineLevel="0" collapsed="false">
      <c r="A32" s="10"/>
      <c r="B32" s="14"/>
      <c r="C32" s="10"/>
      <c r="E32" s="17" t="n">
        <f aca="false">IF(C32="Operating",B32,0)</f>
        <v>0</v>
      </c>
    </row>
    <row r="33" customFormat="false" ht="15" hidden="false" customHeight="false" outlineLevel="0" collapsed="false">
      <c r="A33" s="10"/>
      <c r="B33" s="14"/>
      <c r="C33" s="10"/>
      <c r="E33" s="17" t="n">
        <f aca="false">IF(C33="Operating",B33,0)</f>
        <v>0</v>
      </c>
    </row>
    <row r="34" customFormat="false" ht="15" hidden="false" customHeight="false" outlineLevel="0" collapsed="false">
      <c r="A34" s="10"/>
      <c r="B34" s="14"/>
      <c r="C34" s="10"/>
      <c r="E34" s="17" t="n">
        <f aca="false">IF(C34="Operating",B34,0)</f>
        <v>0</v>
      </c>
    </row>
    <row r="35" customFormat="false" ht="15" hidden="false" customHeight="false" outlineLevel="0" collapsed="false">
      <c r="A35" s="10"/>
      <c r="B35" s="14"/>
      <c r="C35" s="10"/>
      <c r="E35" s="17" t="n">
        <f aca="false">IF(C35="Operating",B35,0)</f>
        <v>0</v>
      </c>
    </row>
    <row r="36" customFormat="false" ht="15" hidden="false" customHeight="false" outlineLevel="0" collapsed="false">
      <c r="A36" s="10"/>
      <c r="B36" s="14"/>
      <c r="C36" s="10"/>
      <c r="E36" s="17" t="n">
        <f aca="false">IF(C36="Operating",B36,0)</f>
        <v>0</v>
      </c>
    </row>
    <row r="37" customFormat="false" ht="15" hidden="false" customHeight="false" outlineLevel="0" collapsed="false">
      <c r="A37" s="10"/>
      <c r="B37" s="14"/>
      <c r="C37" s="10"/>
      <c r="E37" s="17" t="n">
        <f aca="false">IF(C37="Operating",B37,0)</f>
        <v>0</v>
      </c>
    </row>
    <row r="38" customFormat="false" ht="15" hidden="false" customHeight="false" outlineLevel="0" collapsed="false">
      <c r="A38" s="10"/>
      <c r="B38" s="14"/>
      <c r="C38" s="10"/>
      <c r="E38" s="17" t="n">
        <f aca="false">IF(C38="Operating",B38,0)</f>
        <v>0</v>
      </c>
    </row>
    <row r="39" customFormat="false" ht="15" hidden="false" customHeight="false" outlineLevel="0" collapsed="false">
      <c r="A39" s="10"/>
      <c r="B39" s="14"/>
      <c r="C39" s="10"/>
      <c r="E39" s="17" t="n">
        <f aca="false">IF(C39="Operating",B39,0)</f>
        <v>0</v>
      </c>
    </row>
    <row r="40" customFormat="false" ht="22.35" hidden="false" customHeight="false" outlineLevel="0" collapsed="false">
      <c r="A40" s="21" t="s">
        <v>191</v>
      </c>
    </row>
    <row r="42" customFormat="false" ht="15" hidden="false" customHeight="false" outlineLevel="0" collapsed="false">
      <c r="A42" s="19" t="s">
        <v>192</v>
      </c>
      <c r="C42" s="20" t="n">
        <f aca="false">SUM(E30:E39)</f>
        <v>0</v>
      </c>
    </row>
    <row r="44" customFormat="false" ht="25.5" hidden="false" customHeight="true" outlineLevel="0" collapsed="false">
      <c r="A44" s="8" t="s">
        <v>193</v>
      </c>
      <c r="B44" s="8"/>
      <c r="C44" s="8"/>
      <c r="D44" s="8"/>
      <c r="E44" s="8"/>
      <c r="F44" s="8"/>
      <c r="G44" s="8"/>
    </row>
  </sheetData>
  <sheetProtection sheet="true" formatColumns="false" formatRows="false"/>
  <mergeCells count="9">
    <mergeCell ref="A1:G1"/>
    <mergeCell ref="A2:G2"/>
    <mergeCell ref="A18:G18"/>
    <mergeCell ref="D21:G21"/>
    <mergeCell ref="D22:G22"/>
    <mergeCell ref="D23:G23"/>
    <mergeCell ref="D24:G24"/>
    <mergeCell ref="D25:G25"/>
    <mergeCell ref="A44:G44"/>
  </mergeCells>
  <dataValidations count="1">
    <dataValidation allowBlank="false" errorStyle="stop" operator="between" showDropDown="false" showErrorMessage="false" showInputMessage="false" sqref="C30:C39" type="list">
      <formula1>"Reserves,Operating,Special assessment,Loan"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9" topLeftCell="D10" activePane="bottomRight" state="frozen"/>
      <selection pane="topLeft" activeCell="A1" activeCellId="0" sqref="A1"/>
      <selection pane="topRight" activeCell="D1" activeCellId="0" sqref="D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3"/>
    <col collapsed="false" customWidth="true" hidden="false" outlineLevel="0" max="3" min="3" style="0" width="12"/>
    <col collapsed="false" customWidth="true" hidden="false" outlineLevel="0" max="15" min="4" style="0" width="10.51"/>
  </cols>
  <sheetData>
    <row r="1" customFormat="false" ht="33.75" hidden="false" customHeight="true" outlineLevel="0" collapsed="false">
      <c r="A1" s="1" t="s">
        <v>18</v>
      </c>
      <c r="B1" s="1"/>
      <c r="C1" s="1"/>
      <c r="D1" s="1"/>
      <c r="E1" s="1"/>
      <c r="F1" s="1"/>
      <c r="G1" s="1"/>
      <c r="H1" s="1"/>
      <c r="I1" s="1"/>
      <c r="J1" s="1"/>
      <c r="K1" s="1"/>
      <c r="L1" s="1"/>
      <c r="M1" s="1"/>
      <c r="N1" s="1"/>
      <c r="O1" s="1"/>
    </row>
    <row r="2" customFormat="false" ht="31.5" hidden="false" customHeight="true" outlineLevel="0" collapsed="false">
      <c r="A2" s="2" t="s">
        <v>194</v>
      </c>
      <c r="B2" s="2"/>
      <c r="C2" s="2"/>
      <c r="D2" s="2"/>
      <c r="E2" s="2"/>
      <c r="F2" s="2"/>
      <c r="G2" s="2"/>
      <c r="H2" s="2"/>
      <c r="I2" s="2"/>
      <c r="J2" s="2"/>
      <c r="K2" s="2"/>
      <c r="L2" s="2"/>
      <c r="M2" s="2"/>
      <c r="N2" s="2"/>
      <c r="O2" s="2"/>
    </row>
    <row r="4" customFormat="false" ht="15" hidden="false" customHeight="true" outlineLevel="0" collapsed="false">
      <c r="A4" s="24" t="s">
        <v>195</v>
      </c>
      <c r="B4" s="11" t="n">
        <v>1</v>
      </c>
      <c r="C4" s="8" t="s">
        <v>196</v>
      </c>
      <c r="D4" s="8"/>
      <c r="E4" s="8"/>
      <c r="F4" s="8"/>
      <c r="G4" s="8"/>
      <c r="H4" s="8"/>
      <c r="I4" s="8"/>
      <c r="J4" s="8"/>
      <c r="K4" s="8"/>
      <c r="L4" s="8"/>
      <c r="M4" s="8"/>
      <c r="N4" s="8"/>
      <c r="O4" s="8"/>
    </row>
    <row r="5" customFormat="false" ht="15" hidden="false" customHeight="false" outlineLevel="0" collapsed="false">
      <c r="A5" s="24" t="s">
        <v>197</v>
      </c>
      <c r="B5" s="11" t="n">
        <v>3</v>
      </c>
      <c r="C5" s="8"/>
      <c r="D5" s="8"/>
      <c r="E5" s="8"/>
      <c r="F5" s="8"/>
      <c r="G5" s="8"/>
      <c r="H5" s="8"/>
      <c r="I5" s="8"/>
      <c r="J5" s="8"/>
      <c r="K5" s="8"/>
      <c r="L5" s="8"/>
      <c r="M5" s="8"/>
      <c r="N5" s="8"/>
      <c r="O5" s="8"/>
    </row>
    <row r="6" customFormat="false" ht="15" hidden="false" customHeight="false" outlineLevel="0" collapsed="false">
      <c r="A6" s="24" t="s">
        <v>198</v>
      </c>
      <c r="B6" s="11" t="n">
        <v>6</v>
      </c>
      <c r="C6" s="8"/>
      <c r="D6" s="8"/>
      <c r="E6" s="8"/>
      <c r="F6" s="8"/>
      <c r="G6" s="8"/>
      <c r="H6" s="8"/>
      <c r="I6" s="8"/>
      <c r="J6" s="8"/>
      <c r="K6" s="8"/>
      <c r="L6" s="8"/>
      <c r="M6" s="8"/>
      <c r="N6" s="8"/>
      <c r="O6" s="8"/>
    </row>
    <row r="8" customFormat="false" ht="15" hidden="false" customHeight="false" outlineLevel="0" collapsed="false">
      <c r="A8" s="37"/>
      <c r="B8" s="19" t="s">
        <v>199</v>
      </c>
      <c r="C8" s="19" t="s">
        <v>200</v>
      </c>
      <c r="D8" s="38" t="str">
        <f aca="false">CHOOSE(D9,"Jan","Feb","Mar","Apr","May","Jun","Jul","Aug","Sep","Oct","Nov","Dec")</f>
        <v>Jan</v>
      </c>
      <c r="E8" s="38" t="str">
        <f aca="false">CHOOSE(E9,"Jan","Feb","Mar","Apr","May","Jun","Jul","Aug","Sep","Oct","Nov","Dec")</f>
        <v>Feb</v>
      </c>
      <c r="F8" s="38" t="str">
        <f aca="false">CHOOSE(F9,"Jan","Feb","Mar","Apr","May","Jun","Jul","Aug","Sep","Oct","Nov","Dec")</f>
        <v>Mar</v>
      </c>
      <c r="G8" s="38" t="str">
        <f aca="false">CHOOSE(G9,"Jan","Feb","Mar","Apr","May","Jun","Jul","Aug","Sep","Oct","Nov","Dec")</f>
        <v>Apr</v>
      </c>
      <c r="H8" s="38" t="str">
        <f aca="false">CHOOSE(H9,"Jan","Feb","Mar","Apr","May","Jun","Jul","Aug","Sep","Oct","Nov","Dec")</f>
        <v>May</v>
      </c>
      <c r="I8" s="38" t="str">
        <f aca="false">CHOOSE(I9,"Jan","Feb","Mar","Apr","May","Jun","Jul","Aug","Sep","Oct","Nov","Dec")</f>
        <v>Jun</v>
      </c>
      <c r="J8" s="38" t="str">
        <f aca="false">CHOOSE(J9,"Jan","Feb","Mar","Apr","May","Jun","Jul","Aug","Sep","Oct","Nov","Dec")</f>
        <v>Jul</v>
      </c>
      <c r="K8" s="38" t="str">
        <f aca="false">CHOOSE(K9,"Jan","Feb","Mar","Apr","May","Jun","Jul","Aug","Sep","Oct","Nov","Dec")</f>
        <v>Aug</v>
      </c>
      <c r="L8" s="38" t="str">
        <f aca="false">CHOOSE(L9,"Jan","Feb","Mar","Apr","May","Jun","Jul","Aug","Sep","Oct","Nov","Dec")</f>
        <v>Sep</v>
      </c>
      <c r="M8" s="38" t="str">
        <f aca="false">CHOOSE(M9,"Jan","Feb","Mar","Apr","May","Jun","Jul","Aug","Sep","Oct","Nov","Dec")</f>
        <v>Oct</v>
      </c>
      <c r="N8" s="38" t="str">
        <f aca="false">CHOOSE(N9,"Jan","Feb","Mar","Apr","May","Jun","Jul","Aug","Sep","Oct","Nov","Dec")</f>
        <v>Nov</v>
      </c>
      <c r="O8" s="38" t="str">
        <f aca="false">CHOOSE(O9,"Jan","Feb","Mar","Apr","May","Jun","Jul","Aug","Sep","Oct","Nov","Dec")</f>
        <v>Dec</v>
      </c>
      <c r="Q8" s="34" t="s">
        <v>201</v>
      </c>
    </row>
    <row r="9" customFormat="false" ht="15" hidden="false" customHeight="false" outlineLevel="0" collapsed="false">
      <c r="A9" s="21" t="s">
        <v>202</v>
      </c>
      <c r="D9" s="39" t="n">
        <f aca="false">MOD(Budget!$B$7-1+0,12)+1</f>
        <v>1</v>
      </c>
      <c r="E9" s="39" t="n">
        <f aca="false">MOD(Budget!$B$7-1+1,12)+1</f>
        <v>2</v>
      </c>
      <c r="F9" s="39" t="n">
        <f aca="false">MOD(Budget!$B$7-1+2,12)+1</f>
        <v>3</v>
      </c>
      <c r="G9" s="39" t="n">
        <f aca="false">MOD(Budget!$B$7-1+3,12)+1</f>
        <v>4</v>
      </c>
      <c r="H9" s="39" t="n">
        <f aca="false">MOD(Budget!$B$7-1+4,12)+1</f>
        <v>5</v>
      </c>
      <c r="I9" s="39" t="n">
        <f aca="false">MOD(Budget!$B$7-1+5,12)+1</f>
        <v>6</v>
      </c>
      <c r="J9" s="39" t="n">
        <f aca="false">MOD(Budget!$B$7-1+6,12)+1</f>
        <v>7</v>
      </c>
      <c r="K9" s="39" t="n">
        <f aca="false">MOD(Budget!$B$7-1+7,12)+1</f>
        <v>8</v>
      </c>
      <c r="L9" s="39" t="n">
        <f aca="false">MOD(Budget!$B$7-1+8,12)+1</f>
        <v>9</v>
      </c>
      <c r="M9" s="39" t="n">
        <f aca="false">MOD(Budget!$B$7-1+9,12)+1</f>
        <v>10</v>
      </c>
      <c r="N9" s="39" t="n">
        <f aca="false">MOD(Budget!$B$7-1+10,12)+1</f>
        <v>11</v>
      </c>
      <c r="O9" s="39" t="n">
        <f aca="false">MOD(Budget!$B$7-1+11,12)+1</f>
        <v>12</v>
      </c>
    </row>
    <row r="10" customFormat="false" ht="19.5" hidden="false" customHeight="true" outlineLevel="0" collapsed="false">
      <c r="A10" s="3" t="s">
        <v>203</v>
      </c>
      <c r="B10" s="4"/>
      <c r="C10" s="4"/>
      <c r="D10" s="4"/>
      <c r="E10" s="4"/>
      <c r="F10" s="4"/>
      <c r="G10" s="4"/>
      <c r="H10" s="4"/>
      <c r="I10" s="4"/>
      <c r="J10" s="4"/>
      <c r="K10" s="4"/>
      <c r="L10" s="4"/>
      <c r="M10" s="4"/>
      <c r="N10" s="4"/>
      <c r="O10" s="4"/>
    </row>
    <row r="11" customFormat="false" ht="22.35" hidden="false" customHeight="false" outlineLevel="0" collapsed="false">
      <c r="A11" s="24" t="s">
        <v>204</v>
      </c>
      <c r="B11" s="22" t="n">
        <f aca="false">Budget!$C$57</f>
        <v>0</v>
      </c>
      <c r="C11" s="21" t="s">
        <v>205</v>
      </c>
      <c r="D11" s="17" t="n">
        <f aca="false">IF(OR(Budget!$B$9=0,MOD((COLUMN()-3)-1,12/Budget!$B$9)&lt;&gt;0),0,$B11/Budget!$B$9)</f>
        <v>0</v>
      </c>
      <c r="E11" s="17" t="n">
        <f aca="false">IF(OR(Budget!$B$9=0,MOD((COLUMN()-3)-1,12/Budget!$B$9)&lt;&gt;0),0,$B11/Budget!$B$9)</f>
        <v>0</v>
      </c>
      <c r="F11" s="17" t="n">
        <f aca="false">IF(OR(Budget!$B$9=0,MOD((COLUMN()-3)-1,12/Budget!$B$9)&lt;&gt;0),0,$B11/Budget!$B$9)</f>
        <v>0</v>
      </c>
      <c r="G11" s="17" t="n">
        <f aca="false">IF(OR(Budget!$B$9=0,MOD((COLUMN()-3)-1,12/Budget!$B$9)&lt;&gt;0),0,$B11/Budget!$B$9)</f>
        <v>0</v>
      </c>
      <c r="H11" s="17" t="n">
        <f aca="false">IF(OR(Budget!$B$9=0,MOD((COLUMN()-3)-1,12/Budget!$B$9)&lt;&gt;0),0,$B11/Budget!$B$9)</f>
        <v>0</v>
      </c>
      <c r="I11" s="17" t="n">
        <f aca="false">IF(OR(Budget!$B$9=0,MOD((COLUMN()-3)-1,12/Budget!$B$9)&lt;&gt;0),0,$B11/Budget!$B$9)</f>
        <v>0</v>
      </c>
      <c r="J11" s="17" t="n">
        <f aca="false">IF(OR(Budget!$B$9=0,MOD((COLUMN()-3)-1,12/Budget!$B$9)&lt;&gt;0),0,$B11/Budget!$B$9)</f>
        <v>0</v>
      </c>
      <c r="K11" s="17" t="n">
        <f aca="false">IF(OR(Budget!$B$9=0,MOD((COLUMN()-3)-1,12/Budget!$B$9)&lt;&gt;0),0,$B11/Budget!$B$9)</f>
        <v>0</v>
      </c>
      <c r="L11" s="17" t="n">
        <f aca="false">IF(OR(Budget!$B$9=0,MOD((COLUMN()-3)-1,12/Budget!$B$9)&lt;&gt;0),0,$B11/Budget!$B$9)</f>
        <v>0</v>
      </c>
      <c r="M11" s="17" t="n">
        <f aca="false">IF(OR(Budget!$B$9=0,MOD((COLUMN()-3)-1,12/Budget!$B$9)&lt;&gt;0),0,$B11/Budget!$B$9)</f>
        <v>0</v>
      </c>
      <c r="N11" s="17" t="n">
        <f aca="false">IF(OR(Budget!$B$9=0,MOD((COLUMN()-3)-1,12/Budget!$B$9)&lt;&gt;0),0,$B11/Budget!$B$9)</f>
        <v>0</v>
      </c>
      <c r="O11" s="17" t="n">
        <f aca="false">IF(OR(Budget!$B$9=0,MOD((COLUMN()-3)-1,12/Budget!$B$9)&lt;&gt;0),0,$B11/Budget!$B$9)</f>
        <v>0</v>
      </c>
      <c r="Q11" s="40" t="str">
        <f aca="false">IF(ROUND(SUM(D11:O11)-B11,0)=0,"OK","Check")</f>
        <v>OK</v>
      </c>
    </row>
    <row r="12" customFormat="false" ht="15" hidden="false" customHeight="false" outlineLevel="0" collapsed="false">
      <c r="A12" s="24" t="s">
        <v>89</v>
      </c>
      <c r="B12" s="22" t="n">
        <f aca="false">Budget!$C$23</f>
        <v>0</v>
      </c>
      <c r="C12" s="21" t="s">
        <v>206</v>
      </c>
      <c r="D12" s="17" t="n">
        <f aca="false">$B12/12</f>
        <v>0</v>
      </c>
      <c r="E12" s="17" t="n">
        <f aca="false">$B12/12</f>
        <v>0</v>
      </c>
      <c r="F12" s="17" t="n">
        <f aca="false">$B12/12</f>
        <v>0</v>
      </c>
      <c r="G12" s="17" t="n">
        <f aca="false">$B12/12</f>
        <v>0</v>
      </c>
      <c r="H12" s="17" t="n">
        <f aca="false">$B12/12</f>
        <v>0</v>
      </c>
      <c r="I12" s="17" t="n">
        <f aca="false">$B12/12</f>
        <v>0</v>
      </c>
      <c r="J12" s="17" t="n">
        <f aca="false">$B12/12</f>
        <v>0</v>
      </c>
      <c r="K12" s="17" t="n">
        <f aca="false">$B12/12</f>
        <v>0</v>
      </c>
      <c r="L12" s="17" t="n">
        <f aca="false">$B12/12</f>
        <v>0</v>
      </c>
      <c r="M12" s="17" t="n">
        <f aca="false">$B12/12</f>
        <v>0</v>
      </c>
      <c r="N12" s="17" t="n">
        <f aca="false">$B12/12</f>
        <v>0</v>
      </c>
      <c r="O12" s="17" t="n">
        <f aca="false">$B12/12</f>
        <v>0</v>
      </c>
      <c r="Q12" s="40" t="str">
        <f aca="false">IF(ROUND(SUM(D12:O12)-B12,0)=0,"OK","Check")</f>
        <v>OK</v>
      </c>
    </row>
    <row r="13" customFormat="false" ht="15" hidden="false" customHeight="false" outlineLevel="0" collapsed="false">
      <c r="A13" s="19" t="s">
        <v>207</v>
      </c>
      <c r="B13" s="20" t="n">
        <f aca="false">SUM(B11:B12)</f>
        <v>0</v>
      </c>
      <c r="C13" s="41"/>
      <c r="D13" s="20" t="n">
        <f aca="false">SUM(D11:D12)</f>
        <v>0</v>
      </c>
      <c r="E13" s="20" t="n">
        <f aca="false">SUM(E11:E12)</f>
        <v>0</v>
      </c>
      <c r="F13" s="20" t="n">
        <f aca="false">SUM(F11:F12)</f>
        <v>0</v>
      </c>
      <c r="G13" s="20" t="n">
        <f aca="false">SUM(G11:G12)</f>
        <v>0</v>
      </c>
      <c r="H13" s="20" t="n">
        <f aca="false">SUM(H11:H12)</f>
        <v>0</v>
      </c>
      <c r="I13" s="20" t="n">
        <f aca="false">SUM(I11:I12)</f>
        <v>0</v>
      </c>
      <c r="J13" s="20" t="n">
        <f aca="false">SUM(J11:J12)</f>
        <v>0</v>
      </c>
      <c r="K13" s="20" t="n">
        <f aca="false">SUM(K11:K12)</f>
        <v>0</v>
      </c>
      <c r="L13" s="20" t="n">
        <f aca="false">SUM(L11:L12)</f>
        <v>0</v>
      </c>
      <c r="M13" s="20" t="n">
        <f aca="false">SUM(M11:M12)</f>
        <v>0</v>
      </c>
      <c r="N13" s="20" t="n">
        <f aca="false">SUM(N11:N12)</f>
        <v>0</v>
      </c>
      <c r="O13" s="20" t="n">
        <f aca="false">SUM(O11:O12)</f>
        <v>0</v>
      </c>
    </row>
    <row r="15" customFormat="false" ht="19.5" hidden="false" customHeight="true" outlineLevel="0" collapsed="false">
      <c r="A15" s="3" t="s">
        <v>208</v>
      </c>
      <c r="B15" s="4"/>
      <c r="C15" s="4"/>
      <c r="D15" s="4"/>
      <c r="E15" s="4"/>
      <c r="F15" s="4"/>
      <c r="G15" s="4"/>
      <c r="H15" s="4"/>
      <c r="I15" s="4"/>
      <c r="J15" s="4"/>
      <c r="K15" s="4"/>
      <c r="L15" s="4"/>
      <c r="M15" s="4"/>
      <c r="N15" s="4"/>
      <c r="O15" s="4"/>
    </row>
    <row r="16" customFormat="false" ht="22.35" hidden="false" customHeight="false" outlineLevel="0" collapsed="false">
      <c r="A16" s="24" t="s">
        <v>209</v>
      </c>
      <c r="B16" s="22" t="n">
        <f aca="false">(Budget!$C$27+Budget!$C$28+Budget!$C$29+Budget!$C$30)</f>
        <v>0</v>
      </c>
      <c r="C16" s="21" t="s">
        <v>210</v>
      </c>
      <c r="D16" s="17" t="n">
        <f aca="false">IF(D$9=$B$4,$B16,0)</f>
        <v>0</v>
      </c>
      <c r="E16" s="17" t="n">
        <f aca="false">IF(E$9=$B$4,$B16,0)</f>
        <v>0</v>
      </c>
      <c r="F16" s="17" t="n">
        <f aca="false">IF(F$9=$B$4,$B16,0)</f>
        <v>0</v>
      </c>
      <c r="G16" s="17" t="n">
        <f aca="false">IF(G$9=$B$4,$B16,0)</f>
        <v>0</v>
      </c>
      <c r="H16" s="17" t="n">
        <f aca="false">IF(H$9=$B$4,$B16,0)</f>
        <v>0</v>
      </c>
      <c r="I16" s="17" t="n">
        <f aca="false">IF(I$9=$B$4,$B16,0)</f>
        <v>0</v>
      </c>
      <c r="J16" s="17" t="n">
        <f aca="false">IF(J$9=$B$4,$B16,0)</f>
        <v>0</v>
      </c>
      <c r="K16" s="17" t="n">
        <f aca="false">IF(K$9=$B$4,$B16,0)</f>
        <v>0</v>
      </c>
      <c r="L16" s="17" t="n">
        <f aca="false">IF(L$9=$B$4,$B16,0)</f>
        <v>0</v>
      </c>
      <c r="M16" s="17" t="n">
        <f aca="false">IF(M$9=$B$4,$B16,0)</f>
        <v>0</v>
      </c>
      <c r="N16" s="17" t="n">
        <f aca="false">IF(N$9=$B$4,$B16,0)</f>
        <v>0</v>
      </c>
      <c r="O16" s="17" t="n">
        <f aca="false">IF(O$9=$B$4,$B16,0)</f>
        <v>0</v>
      </c>
      <c r="Q16" s="40" t="str">
        <f aca="false">IF(ROUND(SUM(D16:O16)-B16,0)=0,"OK","Check")</f>
        <v>OK</v>
      </c>
    </row>
    <row r="17" customFormat="false" ht="22.35" hidden="false" customHeight="false" outlineLevel="0" collapsed="false">
      <c r="A17" s="24" t="s">
        <v>211</v>
      </c>
      <c r="B17" s="22" t="n">
        <f aca="false">(Budget!$C$39+Budget!$C$41)</f>
        <v>0</v>
      </c>
      <c r="C17" s="21" t="s">
        <v>210</v>
      </c>
      <c r="D17" s="17" t="n">
        <f aca="false">IF(D$9=$B$5,$B17,0)</f>
        <v>0</v>
      </c>
      <c r="E17" s="17" t="n">
        <f aca="false">IF(E$9=$B$5,$B17,0)</f>
        <v>0</v>
      </c>
      <c r="F17" s="17" t="n">
        <f aca="false">IF(F$9=$B$5,$B17,0)</f>
        <v>0</v>
      </c>
      <c r="G17" s="17" t="n">
        <f aca="false">IF(G$9=$B$5,$B17,0)</f>
        <v>0</v>
      </c>
      <c r="H17" s="17" t="n">
        <f aca="false">IF(H$9=$B$5,$B17,0)</f>
        <v>0</v>
      </c>
      <c r="I17" s="17" t="n">
        <f aca="false">IF(I$9=$B$5,$B17,0)</f>
        <v>0</v>
      </c>
      <c r="J17" s="17" t="n">
        <f aca="false">IF(J$9=$B$5,$B17,0)</f>
        <v>0</v>
      </c>
      <c r="K17" s="17" t="n">
        <f aca="false">IF(K$9=$B$5,$B17,0)</f>
        <v>0</v>
      </c>
      <c r="L17" s="17" t="n">
        <f aca="false">IF(L$9=$B$5,$B17,0)</f>
        <v>0</v>
      </c>
      <c r="M17" s="17" t="n">
        <f aca="false">IF(M$9=$B$5,$B17,0)</f>
        <v>0</v>
      </c>
      <c r="N17" s="17" t="n">
        <f aca="false">IF(N$9=$B$5,$B17,0)</f>
        <v>0</v>
      </c>
      <c r="O17" s="17" t="n">
        <f aca="false">IF(O$9=$B$5,$B17,0)</f>
        <v>0</v>
      </c>
      <c r="Q17" s="40" t="str">
        <f aca="false">IF(ROUND(SUM(D17:O17)-B17,0)=0,"OK","Check")</f>
        <v>OK</v>
      </c>
    </row>
    <row r="18" customFormat="false" ht="15" hidden="false" customHeight="false" outlineLevel="0" collapsed="false">
      <c r="A18" s="24" t="s">
        <v>111</v>
      </c>
      <c r="B18" s="22" t="n">
        <f aca="false">Budget!$C$35</f>
        <v>0</v>
      </c>
      <c r="C18" s="21" t="s">
        <v>212</v>
      </c>
      <c r="D18" s="17" t="n">
        <f aca="false">IF(AND(D$9&gt;=5,D$9&lt;=9),$B18/5,0)</f>
        <v>0</v>
      </c>
      <c r="E18" s="17" t="n">
        <f aca="false">IF(AND(E$9&gt;=5,E$9&lt;=9),$B18/5,0)</f>
        <v>0</v>
      </c>
      <c r="F18" s="17" t="n">
        <f aca="false">IF(AND(F$9&gt;=5,F$9&lt;=9),$B18/5,0)</f>
        <v>0</v>
      </c>
      <c r="G18" s="17" t="n">
        <f aca="false">IF(AND(G$9&gt;=5,G$9&lt;=9),$B18/5,0)</f>
        <v>0</v>
      </c>
      <c r="H18" s="17" t="n">
        <f aca="false">IF(AND(H$9&gt;=5,H$9&lt;=9),$B18/5,0)</f>
        <v>0</v>
      </c>
      <c r="I18" s="17" t="n">
        <f aca="false">IF(AND(I$9&gt;=5,I$9&lt;=9),$B18/5,0)</f>
        <v>0</v>
      </c>
      <c r="J18" s="17" t="n">
        <f aca="false">IF(AND(J$9&gt;=5,J$9&lt;=9),$B18/5,0)</f>
        <v>0</v>
      </c>
      <c r="K18" s="17" t="n">
        <f aca="false">IF(AND(K$9&gt;=5,K$9&lt;=9),$B18/5,0)</f>
        <v>0</v>
      </c>
      <c r="L18" s="17" t="n">
        <f aca="false">IF(AND(L$9&gt;=5,L$9&lt;=9),$B18/5,0)</f>
        <v>0</v>
      </c>
      <c r="M18" s="17" t="n">
        <f aca="false">IF(AND(M$9&gt;=5,M$9&lt;=9),$B18/5,0)</f>
        <v>0</v>
      </c>
      <c r="N18" s="17" t="n">
        <f aca="false">IF(AND(N$9&gt;=5,N$9&lt;=9),$B18/5,0)</f>
        <v>0</v>
      </c>
      <c r="O18" s="17" t="n">
        <f aca="false">IF(AND(O$9&gt;=5,O$9&lt;=9),$B18/5,0)</f>
        <v>0</v>
      </c>
      <c r="Q18" s="40" t="str">
        <f aca="false">IF(ROUND(SUM(D18:O18)-B18,0)=0,"OK","Check")</f>
        <v>OK</v>
      </c>
    </row>
    <row r="19" customFormat="false" ht="15" hidden="false" customHeight="false" outlineLevel="0" collapsed="false">
      <c r="A19" s="24" t="s">
        <v>213</v>
      </c>
      <c r="B19" s="22" t="n">
        <f aca="false">Budget!$C$44-(Budget!$C$27+Budget!$C$28+Budget!$C$29+Budget!$C$30)-(Budget!$C$39+Budget!$C$41)-Budget!$C$35</f>
        <v>0</v>
      </c>
      <c r="C19" s="21" t="s">
        <v>206</v>
      </c>
      <c r="D19" s="17" t="n">
        <f aca="false">$B19/12</f>
        <v>0</v>
      </c>
      <c r="E19" s="17" t="n">
        <f aca="false">$B19/12</f>
        <v>0</v>
      </c>
      <c r="F19" s="17" t="n">
        <f aca="false">$B19/12</f>
        <v>0</v>
      </c>
      <c r="G19" s="17" t="n">
        <f aca="false">$B19/12</f>
        <v>0</v>
      </c>
      <c r="H19" s="17" t="n">
        <f aca="false">$B19/12</f>
        <v>0</v>
      </c>
      <c r="I19" s="17" t="n">
        <f aca="false">$B19/12</f>
        <v>0</v>
      </c>
      <c r="J19" s="17" t="n">
        <f aca="false">$B19/12</f>
        <v>0</v>
      </c>
      <c r="K19" s="17" t="n">
        <f aca="false">$B19/12</f>
        <v>0</v>
      </c>
      <c r="L19" s="17" t="n">
        <f aca="false">$B19/12</f>
        <v>0</v>
      </c>
      <c r="M19" s="17" t="n">
        <f aca="false">$B19/12</f>
        <v>0</v>
      </c>
      <c r="N19" s="17" t="n">
        <f aca="false">$B19/12</f>
        <v>0</v>
      </c>
      <c r="O19" s="17" t="n">
        <f aca="false">$B19/12</f>
        <v>0</v>
      </c>
      <c r="Q19" s="40" t="str">
        <f aca="false">IF(ROUND(SUM(D19:O19)-B19,0)=0,"OK","Check")</f>
        <v>OK</v>
      </c>
    </row>
    <row r="20" customFormat="false" ht="15" hidden="false" customHeight="false" outlineLevel="0" collapsed="false">
      <c r="A20" s="24" t="s">
        <v>214</v>
      </c>
      <c r="B20" s="22" t="n">
        <f aca="false">Budget!$C$47+Budget!$C$49+Budget!$C$50</f>
        <v>0</v>
      </c>
      <c r="C20" s="21" t="s">
        <v>206</v>
      </c>
      <c r="D20" s="17" t="n">
        <f aca="false">$B20/12</f>
        <v>0</v>
      </c>
      <c r="E20" s="17" t="n">
        <f aca="false">$B20/12</f>
        <v>0</v>
      </c>
      <c r="F20" s="17" t="n">
        <f aca="false">$B20/12</f>
        <v>0</v>
      </c>
      <c r="G20" s="17" t="n">
        <f aca="false">$B20/12</f>
        <v>0</v>
      </c>
      <c r="H20" s="17" t="n">
        <f aca="false">$B20/12</f>
        <v>0</v>
      </c>
      <c r="I20" s="17" t="n">
        <f aca="false">$B20/12</f>
        <v>0</v>
      </c>
      <c r="J20" s="17" t="n">
        <f aca="false">$B20/12</f>
        <v>0</v>
      </c>
      <c r="K20" s="17" t="n">
        <f aca="false">$B20/12</f>
        <v>0</v>
      </c>
      <c r="L20" s="17" t="n">
        <f aca="false">$B20/12</f>
        <v>0</v>
      </c>
      <c r="M20" s="17" t="n">
        <f aca="false">$B20/12</f>
        <v>0</v>
      </c>
      <c r="N20" s="17" t="n">
        <f aca="false">$B20/12</f>
        <v>0</v>
      </c>
      <c r="O20" s="17" t="n">
        <f aca="false">$B20/12</f>
        <v>0</v>
      </c>
      <c r="Q20" s="40" t="str">
        <f aca="false">IF(ROUND(SUM(D20:O20)-B20,0)=0,"OK","Check")</f>
        <v>OK</v>
      </c>
    </row>
    <row r="21" customFormat="false" ht="15" hidden="false" customHeight="false" outlineLevel="0" collapsed="false">
      <c r="A21" s="24" t="s">
        <v>215</v>
      </c>
      <c r="B21" s="22" t="n">
        <f aca="false">Budget!$C$51</f>
        <v>0</v>
      </c>
      <c r="C21" s="21" t="s">
        <v>216</v>
      </c>
      <c r="D21" s="17" t="n">
        <f aca="false">IF(D$9=$B$6,$B21,0)</f>
        <v>0</v>
      </c>
      <c r="E21" s="17" t="n">
        <f aca="false">IF(E$9=$B$6,$B21,0)</f>
        <v>0</v>
      </c>
      <c r="F21" s="17" t="n">
        <f aca="false">IF(F$9=$B$6,$B21,0)</f>
        <v>0</v>
      </c>
      <c r="G21" s="17" t="n">
        <f aca="false">IF(G$9=$B$6,$B21,0)</f>
        <v>0</v>
      </c>
      <c r="H21" s="17" t="n">
        <f aca="false">IF(H$9=$B$6,$B21,0)</f>
        <v>0</v>
      </c>
      <c r="I21" s="17" t="n">
        <f aca="false">IF(I$9=$B$6,$B21,0)</f>
        <v>0</v>
      </c>
      <c r="J21" s="17" t="n">
        <f aca="false">IF(J$9=$B$6,$B21,0)</f>
        <v>0</v>
      </c>
      <c r="K21" s="17" t="n">
        <f aca="false">IF(K$9=$B$6,$B21,0)</f>
        <v>0</v>
      </c>
      <c r="L21" s="17" t="n">
        <f aca="false">IF(L$9=$B$6,$B21,0)</f>
        <v>0</v>
      </c>
      <c r="M21" s="17" t="n">
        <f aca="false">IF(M$9=$B$6,$B21,0)</f>
        <v>0</v>
      </c>
      <c r="N21" s="17" t="n">
        <f aca="false">IF(N$9=$B$6,$B21,0)</f>
        <v>0</v>
      </c>
      <c r="O21" s="17" t="n">
        <f aca="false">IF(O$9=$B$6,$B21,0)</f>
        <v>0</v>
      </c>
      <c r="Q21" s="40" t="str">
        <f aca="false">IF(ROUND(SUM(D21:O21)-B21,0)=0,"OK","Check")</f>
        <v>OK</v>
      </c>
    </row>
    <row r="22" customFormat="false" ht="15" hidden="false" customHeight="false" outlineLevel="0" collapsed="false">
      <c r="A22" s="19" t="s">
        <v>217</v>
      </c>
      <c r="B22" s="20" t="n">
        <f aca="false">SUM(B16:B21)</f>
        <v>0</v>
      </c>
      <c r="C22" s="41"/>
      <c r="D22" s="20" t="n">
        <f aca="false">SUM(D16:D21)</f>
        <v>0</v>
      </c>
      <c r="E22" s="20" t="n">
        <f aca="false">SUM(E16:E21)</f>
        <v>0</v>
      </c>
      <c r="F22" s="20" t="n">
        <f aca="false">SUM(F16:F21)</f>
        <v>0</v>
      </c>
      <c r="G22" s="20" t="n">
        <f aca="false">SUM(G16:G21)</f>
        <v>0</v>
      </c>
      <c r="H22" s="20" t="n">
        <f aca="false">SUM(H16:H21)</f>
        <v>0</v>
      </c>
      <c r="I22" s="20" t="n">
        <f aca="false">SUM(I16:I21)</f>
        <v>0</v>
      </c>
      <c r="J22" s="20" t="n">
        <f aca="false">SUM(J16:J21)</f>
        <v>0</v>
      </c>
      <c r="K22" s="20" t="n">
        <f aca="false">SUM(K16:K21)</f>
        <v>0</v>
      </c>
      <c r="L22" s="20" t="n">
        <f aca="false">SUM(L16:L21)</f>
        <v>0</v>
      </c>
      <c r="M22" s="20" t="n">
        <f aca="false">SUM(M16:M21)</f>
        <v>0</v>
      </c>
      <c r="N22" s="20" t="n">
        <f aca="false">SUM(N16:N21)</f>
        <v>0</v>
      </c>
      <c r="O22" s="20" t="n">
        <f aca="false">SUM(O16:O21)</f>
        <v>0</v>
      </c>
    </row>
    <row r="24" customFormat="false" ht="19.5" hidden="false" customHeight="true" outlineLevel="0" collapsed="false">
      <c r="A24" s="3" t="s">
        <v>218</v>
      </c>
      <c r="B24" s="4"/>
      <c r="C24" s="4"/>
      <c r="D24" s="4"/>
      <c r="E24" s="4"/>
      <c r="F24" s="4"/>
      <c r="G24" s="4"/>
      <c r="H24" s="4"/>
      <c r="I24" s="4"/>
      <c r="J24" s="4"/>
      <c r="K24" s="4"/>
      <c r="L24" s="4"/>
      <c r="M24" s="4"/>
      <c r="N24" s="4"/>
      <c r="O24" s="4"/>
    </row>
    <row r="25" customFormat="false" ht="15" hidden="false" customHeight="false" outlineLevel="0" collapsed="false">
      <c r="A25" s="24" t="s">
        <v>219</v>
      </c>
      <c r="D25" s="22" t="n">
        <f aca="false">Budget!$B$11</f>
        <v>0</v>
      </c>
      <c r="E25" s="17" t="n">
        <f aca="false">D26</f>
        <v>0</v>
      </c>
      <c r="F25" s="17" t="n">
        <f aca="false">E26</f>
        <v>0</v>
      </c>
      <c r="G25" s="17" t="n">
        <f aca="false">F26</f>
        <v>0</v>
      </c>
      <c r="H25" s="17" t="n">
        <f aca="false">G26</f>
        <v>0</v>
      </c>
      <c r="I25" s="17" t="n">
        <f aca="false">H26</f>
        <v>0</v>
      </c>
      <c r="J25" s="17" t="n">
        <f aca="false">I26</f>
        <v>0</v>
      </c>
      <c r="K25" s="17" t="n">
        <f aca="false">J26</f>
        <v>0</v>
      </c>
      <c r="L25" s="17" t="n">
        <f aca="false">K26</f>
        <v>0</v>
      </c>
      <c r="M25" s="17" t="n">
        <f aca="false">L26</f>
        <v>0</v>
      </c>
      <c r="N25" s="17" t="n">
        <f aca="false">M26</f>
        <v>0</v>
      </c>
      <c r="O25" s="17" t="n">
        <f aca="false">N26</f>
        <v>0</v>
      </c>
    </row>
    <row r="26" customFormat="false" ht="15" hidden="false" customHeight="false" outlineLevel="0" collapsed="false">
      <c r="A26" s="19" t="s">
        <v>220</v>
      </c>
      <c r="D26" s="20" t="n">
        <f aca="false">D25+D13-D22</f>
        <v>0</v>
      </c>
      <c r="E26" s="20" t="n">
        <f aca="false">E25+E13-E22</f>
        <v>0</v>
      </c>
      <c r="F26" s="20" t="n">
        <f aca="false">F25+F13-F22</f>
        <v>0</v>
      </c>
      <c r="G26" s="20" t="n">
        <f aca="false">G25+G13-G22</f>
        <v>0</v>
      </c>
      <c r="H26" s="20" t="n">
        <f aca="false">H25+H13-H22</f>
        <v>0</v>
      </c>
      <c r="I26" s="20" t="n">
        <f aca="false">I25+I13-I22</f>
        <v>0</v>
      </c>
      <c r="J26" s="20" t="n">
        <f aca="false">J25+J13-J22</f>
        <v>0</v>
      </c>
      <c r="K26" s="20" t="n">
        <f aca="false">K25+K13-K22</f>
        <v>0</v>
      </c>
      <c r="L26" s="20" t="n">
        <f aca="false">L25+L13-L22</f>
        <v>0</v>
      </c>
      <c r="M26" s="20" t="n">
        <f aca="false">M25+M13-M22</f>
        <v>0</v>
      </c>
      <c r="N26" s="20" t="n">
        <f aca="false">N25+N13-N22</f>
        <v>0</v>
      </c>
      <c r="O26" s="20" t="n">
        <f aca="false">O25+O13-O22</f>
        <v>0</v>
      </c>
    </row>
    <row r="27" customFormat="false" ht="15" hidden="false" customHeight="false" outlineLevel="0" collapsed="false">
      <c r="A27" s="24" t="s">
        <v>221</v>
      </c>
      <c r="B27" s="28" t="n">
        <f aca="false">MIN(D26:O26)</f>
        <v>0</v>
      </c>
    </row>
    <row r="29" customFormat="false" ht="25.5" hidden="false" customHeight="true" outlineLevel="0" collapsed="false">
      <c r="A29" s="8" t="s">
        <v>222</v>
      </c>
      <c r="B29" s="8"/>
      <c r="C29" s="8"/>
      <c r="D29" s="8"/>
      <c r="E29" s="8"/>
      <c r="F29" s="8"/>
      <c r="G29" s="8"/>
      <c r="H29" s="8"/>
      <c r="I29" s="8"/>
      <c r="J29" s="8"/>
      <c r="K29" s="8"/>
      <c r="L29" s="8"/>
      <c r="M29" s="8"/>
      <c r="N29" s="8"/>
      <c r="O29" s="8"/>
    </row>
  </sheetData>
  <sheetProtection sheet="true" formatColumns="false" formatRows="false"/>
  <mergeCells count="4">
    <mergeCell ref="A1:O1"/>
    <mergeCell ref="A2:O2"/>
    <mergeCell ref="C4:O6"/>
    <mergeCell ref="A29:O29"/>
  </mergeCells>
  <conditionalFormatting sqref="D26:O26">
    <cfRule type="cellIs" priority="2" operator="lessThan" aboveAverage="0" equalAverage="0" bottom="0" percent="0" rank="0" text="" dxfId="0">
      <formula>0</formula>
    </cfRule>
  </conditionalFormatting>
  <dataValidations count="1">
    <dataValidation allowBlank="false" errorStyle="stop" operator="between" showDropDown="false" showErrorMessage="false" showInputMessage="false" sqref="B4:B6"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3" min="2" style="0" width="17"/>
    <col collapsed="false" customWidth="true" hidden="false" outlineLevel="0" max="4" min="4" style="0" width="15"/>
    <col collapsed="false" customWidth="true" hidden="false" outlineLevel="0" max="5" min="5" style="0" width="58"/>
  </cols>
  <sheetData>
    <row r="1" customFormat="false" ht="33.75" hidden="false" customHeight="true" outlineLevel="0" collapsed="false">
      <c r="A1" s="1" t="s">
        <v>223</v>
      </c>
      <c r="B1" s="1"/>
      <c r="C1" s="1"/>
      <c r="D1" s="1"/>
      <c r="E1" s="1"/>
    </row>
    <row r="2" customFormat="false" ht="31.5" hidden="false" customHeight="true" outlineLevel="0" collapsed="false">
      <c r="A2" s="2" t="s">
        <v>224</v>
      </c>
      <c r="B2" s="2"/>
      <c r="C2" s="2"/>
      <c r="D2" s="2"/>
      <c r="E2" s="2"/>
    </row>
    <row r="4" customFormat="false" ht="19.5" hidden="false" customHeight="true" outlineLevel="0" collapsed="false">
      <c r="A4" s="3" t="s">
        <v>54</v>
      </c>
      <c r="B4" s="4"/>
      <c r="C4" s="4"/>
      <c r="D4" s="4"/>
      <c r="E4" s="4"/>
    </row>
    <row r="5" customFormat="false" ht="15" hidden="false" customHeight="true" outlineLevel="0" collapsed="false">
      <c r="A5" s="9" t="s">
        <v>55</v>
      </c>
      <c r="B5" s="10" t="s">
        <v>225</v>
      </c>
      <c r="C5" s="8" t="s">
        <v>56</v>
      </c>
      <c r="D5" s="8"/>
      <c r="E5" s="8"/>
    </row>
    <row r="6" customFormat="false" ht="15" hidden="false" customHeight="true" outlineLevel="0" collapsed="false">
      <c r="A6" s="9" t="s">
        <v>57</v>
      </c>
      <c r="B6" s="10" t="s">
        <v>226</v>
      </c>
      <c r="C6" s="8" t="s">
        <v>58</v>
      </c>
      <c r="D6" s="8"/>
      <c r="E6" s="8"/>
    </row>
    <row r="7" customFormat="false" ht="15" hidden="false" customHeight="true" outlineLevel="0" collapsed="false">
      <c r="A7" s="9" t="s">
        <v>59</v>
      </c>
      <c r="B7" s="11" t="n">
        <v>1</v>
      </c>
      <c r="C7" s="8" t="s">
        <v>60</v>
      </c>
      <c r="D7" s="8"/>
      <c r="E7" s="8"/>
    </row>
    <row r="8" customFormat="false" ht="15" hidden="false" customHeight="true" outlineLevel="0" collapsed="false">
      <c r="A8" s="9" t="s">
        <v>61</v>
      </c>
      <c r="B8" s="12" t="n">
        <v>150</v>
      </c>
      <c r="C8" s="8" t="s">
        <v>62</v>
      </c>
      <c r="D8" s="8"/>
      <c r="E8" s="8"/>
    </row>
    <row r="9" customFormat="false" ht="15" hidden="false" customHeight="true" outlineLevel="0" collapsed="false">
      <c r="A9" s="9" t="s">
        <v>63</v>
      </c>
      <c r="B9" s="11" t="n">
        <v>12</v>
      </c>
      <c r="C9" s="8" t="s">
        <v>64</v>
      </c>
      <c r="D9" s="8"/>
      <c r="E9" s="8"/>
    </row>
    <row r="10" customFormat="false" ht="15" hidden="false" customHeight="true" outlineLevel="0" collapsed="false">
      <c r="A10" s="9" t="s">
        <v>65</v>
      </c>
      <c r="B10" s="13" t="n">
        <v>160</v>
      </c>
      <c r="C10" s="8" t="s">
        <v>66</v>
      </c>
      <c r="D10" s="8"/>
      <c r="E10" s="8"/>
    </row>
    <row r="11" customFormat="false" ht="15" hidden="false" customHeight="true" outlineLevel="0" collapsed="false">
      <c r="A11" s="9" t="s">
        <v>67</v>
      </c>
      <c r="B11" s="14" t="n">
        <v>45000</v>
      </c>
      <c r="C11" s="8" t="s">
        <v>68</v>
      </c>
      <c r="D11" s="8"/>
      <c r="E11" s="8"/>
    </row>
    <row r="12" customFormat="false" ht="15" hidden="false" customHeight="true" outlineLevel="0" collapsed="false">
      <c r="A12" s="9" t="s">
        <v>69</v>
      </c>
      <c r="B12" s="15" t="n">
        <v>0.1</v>
      </c>
      <c r="C12" s="8" t="s">
        <v>70</v>
      </c>
      <c r="D12" s="8"/>
      <c r="E12" s="8"/>
    </row>
    <row r="13" customFormat="false" ht="15" hidden="false" customHeight="true" outlineLevel="0" collapsed="false">
      <c r="A13" s="9" t="s">
        <v>71</v>
      </c>
      <c r="B13" s="15" t="n">
        <v>0.04</v>
      </c>
      <c r="C13" s="8" t="s">
        <v>72</v>
      </c>
      <c r="D13" s="8"/>
      <c r="E13" s="8"/>
    </row>
    <row r="14" customFormat="false" ht="23.85" hidden="false" customHeight="true" outlineLevel="0" collapsed="false">
      <c r="A14" s="9" t="s">
        <v>73</v>
      </c>
      <c r="B14" s="15" t="n">
        <v>0.05</v>
      </c>
      <c r="C14" s="8" t="s">
        <v>74</v>
      </c>
      <c r="D14" s="8"/>
      <c r="E14" s="8"/>
    </row>
    <row r="16" customFormat="false" ht="19.5" hidden="false" customHeight="true" outlineLevel="0" collapsed="false">
      <c r="A16" s="3" t="s">
        <v>75</v>
      </c>
      <c r="B16" s="4"/>
      <c r="C16" s="4"/>
      <c r="D16" s="4"/>
      <c r="E16" s="4"/>
    </row>
    <row r="17" customFormat="false" ht="27.75" hidden="false" customHeight="true" outlineLevel="0" collapsed="false">
      <c r="A17" s="16" t="s">
        <v>76</v>
      </c>
      <c r="B17" s="16" t="s">
        <v>77</v>
      </c>
      <c r="C17" s="16" t="s">
        <v>78</v>
      </c>
      <c r="D17" s="16" t="s">
        <v>79</v>
      </c>
      <c r="E17" s="16" t="s">
        <v>80</v>
      </c>
    </row>
    <row r="18" customFormat="false" ht="23.85" hidden="false" customHeight="false" outlineLevel="0" collapsed="false">
      <c r="A18" s="9" t="s">
        <v>81</v>
      </c>
      <c r="B18" s="14" t="n">
        <v>4800</v>
      </c>
      <c r="C18" s="14" t="n">
        <v>4000</v>
      </c>
      <c r="D18" s="17" t="n">
        <f aca="false">IF(AND(B18=0,C18=0),"",C18-B18)</f>
        <v>-800</v>
      </c>
      <c r="E18" s="18" t="s">
        <v>227</v>
      </c>
    </row>
    <row r="19" customFormat="false" ht="15" hidden="false" customHeight="false" outlineLevel="0" collapsed="false">
      <c r="A19" s="9" t="s">
        <v>83</v>
      </c>
      <c r="B19" s="14" t="n">
        <v>3600</v>
      </c>
      <c r="C19" s="14" t="n">
        <v>4000</v>
      </c>
      <c r="D19" s="17" t="n">
        <f aca="false">IF(AND(B19=0,C19=0),"",C19-B19)</f>
        <v>400</v>
      </c>
      <c r="E19" s="18" t="s">
        <v>228</v>
      </c>
    </row>
    <row r="20" customFormat="false" ht="15" hidden="false" customHeight="false" outlineLevel="0" collapsed="false">
      <c r="A20" s="9" t="s">
        <v>85</v>
      </c>
      <c r="B20" s="14" t="n">
        <v>2100</v>
      </c>
      <c r="C20" s="14" t="n">
        <v>2000</v>
      </c>
      <c r="D20" s="17" t="n">
        <f aca="false">IF(AND(B20=0,C20=0),"",C20-B20)</f>
        <v>-100</v>
      </c>
      <c r="E20" s="18" t="s">
        <v>229</v>
      </c>
    </row>
    <row r="21" customFormat="false" ht="15" hidden="false" customHeight="false" outlineLevel="0" collapsed="false">
      <c r="A21" s="9" t="s">
        <v>87</v>
      </c>
      <c r="B21" s="14" t="n">
        <v>1300</v>
      </c>
      <c r="C21" s="14" t="n">
        <v>1500</v>
      </c>
      <c r="D21" s="17" t="n">
        <f aca="false">IF(AND(B21=0,C21=0),"",C21-B21)</f>
        <v>200</v>
      </c>
      <c r="E21" s="18" t="s">
        <v>230</v>
      </c>
    </row>
    <row r="22" customFormat="false" ht="15" hidden="false" customHeight="false" outlineLevel="0" collapsed="false">
      <c r="A22" s="9" t="s">
        <v>89</v>
      </c>
      <c r="B22" s="14" t="n">
        <v>0</v>
      </c>
      <c r="C22" s="14" t="n">
        <v>0</v>
      </c>
      <c r="D22" s="17" t="str">
        <f aca="false">IF(AND(B22=0,C22=0),"",C22-B22)</f>
        <v/>
      </c>
      <c r="E22" s="18" t="s">
        <v>90</v>
      </c>
    </row>
    <row r="23" customFormat="false" ht="15" hidden="false" customHeight="false" outlineLevel="0" collapsed="false">
      <c r="A23" s="19" t="s">
        <v>91</v>
      </c>
      <c r="B23" s="20" t="n">
        <f aca="false">SUM(B18:B22)</f>
        <v>11800</v>
      </c>
      <c r="C23" s="20" t="n">
        <f aca="false">SUM(C18:C22)</f>
        <v>11500</v>
      </c>
      <c r="D23" s="20" t="n">
        <f aca="false">C23-B23</f>
        <v>-300</v>
      </c>
      <c r="E23" s="19"/>
    </row>
    <row r="25" customFormat="false" ht="19.5" hidden="false" customHeight="true" outlineLevel="0" collapsed="false">
      <c r="A25" s="3" t="s">
        <v>92</v>
      </c>
      <c r="B25" s="4"/>
      <c r="C25" s="4"/>
      <c r="D25" s="4"/>
      <c r="E25" s="4"/>
    </row>
    <row r="26" customFormat="false" ht="15" hidden="false" customHeight="false" outlineLevel="0" collapsed="false">
      <c r="A26" s="9" t="s">
        <v>93</v>
      </c>
      <c r="B26" s="14" t="n">
        <v>44500</v>
      </c>
      <c r="C26" s="14" t="n">
        <v>46000</v>
      </c>
      <c r="D26" s="17" t="n">
        <f aca="false">IF(AND(B26=0,C26=0),"",C26-B26)</f>
        <v>1500</v>
      </c>
      <c r="E26" s="18" t="s">
        <v>231</v>
      </c>
    </row>
    <row r="27" customFormat="false" ht="15" hidden="false" customHeight="false" outlineLevel="0" collapsed="false">
      <c r="A27" s="9" t="s">
        <v>95</v>
      </c>
      <c r="B27" s="14" t="n">
        <v>11200</v>
      </c>
      <c r="C27" s="14" t="n">
        <v>12000</v>
      </c>
      <c r="D27" s="17" t="n">
        <f aca="false">IF(AND(B27=0,C27=0),"",C27-B27)</f>
        <v>800</v>
      </c>
      <c r="E27" s="18" t="s">
        <v>232</v>
      </c>
    </row>
    <row r="28" customFormat="false" ht="15" hidden="false" customHeight="false" outlineLevel="0" collapsed="false">
      <c r="A28" s="9" t="s">
        <v>97</v>
      </c>
      <c r="B28" s="14" t="n">
        <v>28900</v>
      </c>
      <c r="C28" s="14" t="n">
        <v>32000</v>
      </c>
      <c r="D28" s="17" t="n">
        <f aca="false">IF(AND(B28=0,C28=0),"",C28-B28)</f>
        <v>3100</v>
      </c>
      <c r="E28" s="18" t="s">
        <v>98</v>
      </c>
    </row>
    <row r="29" customFormat="false" ht="15" hidden="false" customHeight="false" outlineLevel="0" collapsed="false">
      <c r="A29" s="9" t="s">
        <v>99</v>
      </c>
      <c r="B29" s="14" t="n">
        <v>14500</v>
      </c>
      <c r="C29" s="14" t="n">
        <v>16000</v>
      </c>
      <c r="D29" s="17" t="n">
        <f aca="false">IF(AND(B29=0,C29=0),"",C29-B29)</f>
        <v>1500</v>
      </c>
      <c r="E29" s="18" t="s">
        <v>233</v>
      </c>
    </row>
    <row r="30" customFormat="false" ht="15" hidden="false" customHeight="false" outlineLevel="0" collapsed="false">
      <c r="A30" s="9" t="s">
        <v>101</v>
      </c>
      <c r="B30" s="14" t="n">
        <v>4700</v>
      </c>
      <c r="C30" s="14" t="n">
        <v>5000</v>
      </c>
      <c r="D30" s="17" t="n">
        <f aca="false">IF(AND(B30=0,C30=0),"",C30-B30)</f>
        <v>300</v>
      </c>
      <c r="E30" s="18" t="s">
        <v>234</v>
      </c>
    </row>
    <row r="31" customFormat="false" ht="15" hidden="false" customHeight="false" outlineLevel="0" collapsed="false">
      <c r="A31" s="9" t="s">
        <v>103</v>
      </c>
      <c r="B31" s="14" t="n">
        <v>11400</v>
      </c>
      <c r="C31" s="14" t="n">
        <v>12000</v>
      </c>
      <c r="D31" s="17" t="n">
        <f aca="false">IF(AND(B31=0,C31=0),"",C31-B31)</f>
        <v>600</v>
      </c>
      <c r="E31" s="18" t="s">
        <v>235</v>
      </c>
    </row>
    <row r="32" customFormat="false" ht="15" hidden="false" customHeight="false" outlineLevel="0" collapsed="false">
      <c r="A32" s="9" t="s">
        <v>105</v>
      </c>
      <c r="B32" s="14" t="n">
        <v>7600</v>
      </c>
      <c r="C32" s="14" t="n">
        <v>8000</v>
      </c>
      <c r="D32" s="17" t="n">
        <f aca="false">IF(AND(B32=0,C32=0),"",C32-B32)</f>
        <v>400</v>
      </c>
      <c r="E32" s="18" t="s">
        <v>236</v>
      </c>
    </row>
    <row r="33" customFormat="false" ht="15" hidden="false" customHeight="false" outlineLevel="0" collapsed="false">
      <c r="A33" s="9" t="s">
        <v>107</v>
      </c>
      <c r="B33" s="14" t="n">
        <v>32800</v>
      </c>
      <c r="C33" s="14" t="n">
        <v>34000</v>
      </c>
      <c r="D33" s="17" t="n">
        <f aca="false">IF(AND(B33=0,C33=0),"",C33-B33)</f>
        <v>1200</v>
      </c>
      <c r="E33" s="18" t="s">
        <v>237</v>
      </c>
    </row>
    <row r="34" customFormat="false" ht="15" hidden="false" customHeight="false" outlineLevel="0" collapsed="false">
      <c r="A34" s="9" t="s">
        <v>109</v>
      </c>
      <c r="B34" s="14" t="n">
        <v>11200</v>
      </c>
      <c r="C34" s="14" t="n">
        <v>10000</v>
      </c>
      <c r="D34" s="17" t="n">
        <f aca="false">IF(AND(B34=0,C34=0),"",C34-B34)</f>
        <v>-1200</v>
      </c>
      <c r="E34" s="18" t="s">
        <v>238</v>
      </c>
    </row>
    <row r="35" customFormat="false" ht="15" hidden="false" customHeight="false" outlineLevel="0" collapsed="false">
      <c r="A35" s="9" t="s">
        <v>111</v>
      </c>
      <c r="B35" s="14" t="n">
        <v>13300</v>
      </c>
      <c r="C35" s="14" t="n">
        <v>14000</v>
      </c>
      <c r="D35" s="17" t="n">
        <f aca="false">IF(AND(B35=0,C35=0),"",C35-B35)</f>
        <v>700</v>
      </c>
      <c r="E35" s="18" t="s">
        <v>239</v>
      </c>
    </row>
    <row r="36" customFormat="false" ht="15" hidden="false" customHeight="false" outlineLevel="0" collapsed="false">
      <c r="A36" s="9" t="s">
        <v>113</v>
      </c>
      <c r="B36" s="14" t="n">
        <v>0</v>
      </c>
      <c r="C36" s="14" t="n">
        <v>0</v>
      </c>
      <c r="D36" s="17" t="str">
        <f aca="false">IF(AND(B36=0,C36=0),"",C36-B36)</f>
        <v/>
      </c>
      <c r="E36" s="18" t="s">
        <v>240</v>
      </c>
    </row>
    <row r="37" customFormat="false" ht="15" hidden="false" customHeight="false" outlineLevel="0" collapsed="false">
      <c r="A37" s="9" t="s">
        <v>115</v>
      </c>
      <c r="B37" s="14" t="n">
        <v>1800</v>
      </c>
      <c r="C37" s="14" t="n">
        <v>1900</v>
      </c>
      <c r="D37" s="17" t="n">
        <f aca="false">IF(AND(B37=0,C37=0),"",C37-B37)</f>
        <v>100</v>
      </c>
      <c r="E37" s="18" t="s">
        <v>241</v>
      </c>
    </row>
    <row r="38" customFormat="false" ht="15" hidden="false" customHeight="false" outlineLevel="0" collapsed="false">
      <c r="A38" s="9" t="s">
        <v>117</v>
      </c>
      <c r="B38" s="14" t="n">
        <v>3100</v>
      </c>
      <c r="C38" s="14" t="n">
        <v>4000</v>
      </c>
      <c r="D38" s="17" t="n">
        <f aca="false">IF(AND(B38=0,C38=0),"",C38-B38)</f>
        <v>900</v>
      </c>
      <c r="E38" s="18" t="s">
        <v>242</v>
      </c>
    </row>
    <row r="39" customFormat="false" ht="15" hidden="false" customHeight="false" outlineLevel="0" collapsed="false">
      <c r="A39" s="9" t="s">
        <v>119</v>
      </c>
      <c r="B39" s="14" t="n">
        <v>3300</v>
      </c>
      <c r="C39" s="14" t="n">
        <v>3500</v>
      </c>
      <c r="D39" s="17" t="n">
        <f aca="false">IF(AND(B39=0,C39=0),"",C39-B39)</f>
        <v>200</v>
      </c>
      <c r="E39" s="18" t="s">
        <v>243</v>
      </c>
    </row>
    <row r="40" customFormat="false" ht="15" hidden="false" customHeight="false" outlineLevel="0" collapsed="false">
      <c r="A40" s="9" t="s">
        <v>121</v>
      </c>
      <c r="B40" s="14" t="n">
        <v>3200</v>
      </c>
      <c r="C40" s="14" t="n">
        <v>3500</v>
      </c>
      <c r="D40" s="17" t="n">
        <f aca="false">IF(AND(B40=0,C40=0),"",C40-B40)</f>
        <v>300</v>
      </c>
      <c r="E40" s="18" t="s">
        <v>244</v>
      </c>
    </row>
    <row r="41" customFormat="false" ht="15" hidden="false" customHeight="false" outlineLevel="0" collapsed="false">
      <c r="A41" s="9" t="s">
        <v>123</v>
      </c>
      <c r="B41" s="14" t="n">
        <v>900</v>
      </c>
      <c r="C41" s="14" t="n">
        <v>1000</v>
      </c>
      <c r="D41" s="17" t="n">
        <f aca="false">IF(AND(B41=0,C41=0),"",C41-B41)</f>
        <v>100</v>
      </c>
      <c r="E41" s="18" t="s">
        <v>245</v>
      </c>
    </row>
    <row r="42" customFormat="false" ht="15" hidden="false" customHeight="false" outlineLevel="0" collapsed="false">
      <c r="A42" s="18" t="s">
        <v>125</v>
      </c>
      <c r="B42" s="14" t="n">
        <v>0</v>
      </c>
      <c r="C42" s="14" t="n">
        <v>0</v>
      </c>
      <c r="D42" s="17" t="str">
        <f aca="false">IF(AND(B42=0,C42=0),"",C42-B42)</f>
        <v/>
      </c>
      <c r="E42" s="18" t="s">
        <v>126</v>
      </c>
    </row>
    <row r="43" customFormat="false" ht="15" hidden="false" customHeight="false" outlineLevel="0" collapsed="false">
      <c r="A43" s="18" t="s">
        <v>127</v>
      </c>
      <c r="B43" s="14" t="n">
        <v>0</v>
      </c>
      <c r="C43" s="14" t="n">
        <v>0</v>
      </c>
      <c r="D43" s="17" t="str">
        <f aca="false">IF(AND(B43=0,C43=0),"",C43-B43)</f>
        <v/>
      </c>
      <c r="E43" s="18" t="s">
        <v>128</v>
      </c>
    </row>
    <row r="44" customFormat="false" ht="15" hidden="false" customHeight="false" outlineLevel="0" collapsed="false">
      <c r="A44" s="19" t="s">
        <v>129</v>
      </c>
      <c r="B44" s="20" t="n">
        <f aca="false">SUM(B26:B43)</f>
        <v>192400</v>
      </c>
      <c r="C44" s="20" t="n">
        <f aca="false">SUM(C26:C43)</f>
        <v>202900</v>
      </c>
      <c r="D44" s="20" t="n">
        <f aca="false">C44-B44</f>
        <v>10500</v>
      </c>
      <c r="E44" s="19"/>
    </row>
    <row r="46" customFormat="false" ht="19.5" hidden="false" customHeight="true" outlineLevel="0" collapsed="false">
      <c r="A46" s="3" t="s">
        <v>130</v>
      </c>
      <c r="B46" s="4"/>
      <c r="C46" s="4"/>
      <c r="D46" s="4"/>
      <c r="E46" s="4"/>
    </row>
    <row r="47" customFormat="false" ht="15" hidden="false" customHeight="false" outlineLevel="0" collapsed="false">
      <c r="A47" s="9" t="s">
        <v>131</v>
      </c>
      <c r="B47" s="14" t="n">
        <v>84000</v>
      </c>
      <c r="C47" s="14" t="n">
        <v>90000</v>
      </c>
      <c r="D47" s="17" t="n">
        <f aca="false">IF(AND(B47=0,C47=0),"",C47-B47)</f>
        <v>6000</v>
      </c>
      <c r="E47" s="18" t="s">
        <v>246</v>
      </c>
    </row>
    <row r="48" customFormat="false" ht="15" hidden="false" customHeight="false" outlineLevel="0" collapsed="false">
      <c r="A48" s="21" t="s">
        <v>133</v>
      </c>
      <c r="C48" s="21"/>
      <c r="E48" s="21" t="s">
        <v>247</v>
      </c>
    </row>
    <row r="49" customFormat="false" ht="23.85" hidden="false" customHeight="false" outlineLevel="0" collapsed="false">
      <c r="A49" s="9" t="s">
        <v>135</v>
      </c>
      <c r="B49" s="14"/>
      <c r="C49" s="23" t="n">
        <v>5000</v>
      </c>
      <c r="D49" s="17" t="n">
        <f aca="false">IF(AND(B49=0,C49=0),"",C49-B49)</f>
        <v>5000</v>
      </c>
      <c r="E49" s="18" t="s">
        <v>136</v>
      </c>
    </row>
    <row r="50" customFormat="false" ht="15" hidden="false" customHeight="false" outlineLevel="0" collapsed="false">
      <c r="A50" s="24" t="s">
        <v>137</v>
      </c>
      <c r="B50" s="14"/>
      <c r="C50" s="17" t="n">
        <f aca="false">ROUND(C44*$B$13,0)</f>
        <v>8116</v>
      </c>
      <c r="D50" s="17" t="n">
        <f aca="false">IF(AND(B50=0,C50=0),"",C50-B50)</f>
        <v>8116</v>
      </c>
      <c r="E50" s="21" t="s">
        <v>138</v>
      </c>
    </row>
    <row r="51" customFormat="false" ht="23.85" hidden="false" customHeight="false" outlineLevel="0" collapsed="false">
      <c r="A51" s="9" t="s">
        <v>139</v>
      </c>
      <c r="B51" s="14"/>
      <c r="C51" s="14" t="n">
        <v>4000</v>
      </c>
      <c r="D51" s="17" t="n">
        <f aca="false">IF(AND(B51=0,C51=0),"",C51-B51)</f>
        <v>4000</v>
      </c>
      <c r="E51" s="18" t="s">
        <v>248</v>
      </c>
    </row>
    <row r="52" customFormat="false" ht="15" hidden="false" customHeight="false" outlineLevel="0" collapsed="false">
      <c r="A52" s="19" t="s">
        <v>141</v>
      </c>
      <c r="B52" s="20" t="n">
        <f aca="false">B47+B49+B50+B51</f>
        <v>84000</v>
      </c>
      <c r="C52" s="20" t="n">
        <f aca="false">C47+C49+C50+C51</f>
        <v>107116</v>
      </c>
      <c r="D52" s="20" t="n">
        <f aca="false">C52-B52</f>
        <v>23116</v>
      </c>
      <c r="E52" s="19"/>
    </row>
    <row r="54" customFormat="false" ht="19.5" hidden="false" customHeight="true" outlineLevel="0" collapsed="false">
      <c r="A54" s="25" t="s">
        <v>142</v>
      </c>
      <c r="B54" s="26"/>
      <c r="C54" s="26"/>
      <c r="D54" s="26"/>
      <c r="E54" s="26"/>
    </row>
    <row r="55" customFormat="false" ht="23.85" hidden="false" customHeight="false" outlineLevel="0" collapsed="false">
      <c r="A55" s="9" t="s">
        <v>143</v>
      </c>
      <c r="C55" s="17" t="n">
        <f aca="false">C44+C52</f>
        <v>310016</v>
      </c>
      <c r="D55" s="8"/>
      <c r="E55" s="8"/>
    </row>
    <row r="56" customFormat="false" ht="15" hidden="false" customHeight="false" outlineLevel="0" collapsed="false">
      <c r="A56" s="9" t="s">
        <v>144</v>
      </c>
      <c r="C56" s="17" t="n">
        <f aca="false">-C23</f>
        <v>-11500</v>
      </c>
      <c r="D56" s="8"/>
      <c r="E56" s="8"/>
    </row>
    <row r="57" customFormat="false" ht="15" hidden="false" customHeight="true" outlineLevel="0" collapsed="false">
      <c r="A57" s="27" t="s">
        <v>145</v>
      </c>
      <c r="C57" s="28" t="n">
        <f aca="false">C55+C56</f>
        <v>298516</v>
      </c>
      <c r="D57" s="8" t="s">
        <v>146</v>
      </c>
      <c r="E57" s="8"/>
    </row>
    <row r="58" customFormat="false" ht="15" hidden="false" customHeight="false" outlineLevel="0" collapsed="false">
      <c r="A58" s="9" t="s">
        <v>147</v>
      </c>
      <c r="C58" s="29" t="n">
        <f aca="false">IF($B$8=0,"",C57/$B$8)</f>
        <v>1990.10666666667</v>
      </c>
      <c r="D58" s="8"/>
      <c r="E58" s="8"/>
    </row>
    <row r="59" customFormat="false" ht="15" hidden="false" customHeight="true" outlineLevel="0" collapsed="false">
      <c r="A59" s="9" t="s">
        <v>148</v>
      </c>
      <c r="C59" s="29" t="n">
        <f aca="false">IF(OR($B$8=0,$B$9=0),"",C57/$B$8/$B$9)</f>
        <v>165.842222222222</v>
      </c>
      <c r="D59" s="8" t="s">
        <v>149</v>
      </c>
      <c r="E59" s="8"/>
    </row>
    <row r="60" customFormat="false" ht="15" hidden="false" customHeight="true" outlineLevel="0" collapsed="false">
      <c r="A60" s="30" t="s">
        <v>150</v>
      </c>
      <c r="B60" s="31"/>
      <c r="C60" s="32" t="n">
        <f aca="false">IF(C59="","",C59/(1-$B$14))</f>
        <v>174.570760233918</v>
      </c>
      <c r="D60" s="8" t="s">
        <v>151</v>
      </c>
      <c r="E60" s="8"/>
    </row>
    <row r="61" customFormat="false" ht="15" hidden="false" customHeight="false" outlineLevel="0" collapsed="false">
      <c r="A61" s="9" t="s">
        <v>152</v>
      </c>
      <c r="C61" s="29" t="n">
        <f aca="false">IF(OR(C60="",$B$10=0),"",C60-$B$10)</f>
        <v>14.5707602339181</v>
      </c>
      <c r="D61" s="8"/>
      <c r="E61" s="8"/>
    </row>
    <row r="62" customFormat="false" ht="15" hidden="false" customHeight="true" outlineLevel="0" collapsed="false">
      <c r="A62" s="9" t="s">
        <v>153</v>
      </c>
      <c r="C62" s="33" t="n">
        <f aca="false">IF(OR(C60="",$B$10=0),"",C60/$B$10-1)</f>
        <v>0.0910672514619884</v>
      </c>
      <c r="D62" s="8" t="s">
        <v>154</v>
      </c>
      <c r="E62" s="8"/>
    </row>
    <row r="63" customFormat="false" ht="22.35" hidden="false" customHeight="true" outlineLevel="0" collapsed="false">
      <c r="A63" s="9" t="s">
        <v>155</v>
      </c>
      <c r="C63" s="24" t="str">
        <f aca="false">IF(C62="","",IF($B$12="","No cap entered",IF(C62&lt;=$B$12,"Yes","Over the cap — check your documents")))</f>
        <v>Yes</v>
      </c>
      <c r="D63" s="8" t="s">
        <v>156</v>
      </c>
      <c r="E63" s="8"/>
    </row>
    <row r="65" customFormat="false" ht="19.5" hidden="false" customHeight="true" outlineLevel="0" collapsed="false">
      <c r="A65" s="25" t="s">
        <v>157</v>
      </c>
      <c r="B65" s="26"/>
      <c r="C65" s="26"/>
      <c r="D65" s="26"/>
      <c r="E65" s="26"/>
    </row>
    <row r="66" customFormat="false" ht="25.5" hidden="false" customHeight="true" outlineLevel="0" collapsed="false">
      <c r="A66" s="8" t="s">
        <v>158</v>
      </c>
      <c r="B66" s="8"/>
      <c r="C66" s="8"/>
      <c r="D66" s="8"/>
      <c r="E66" s="8"/>
    </row>
    <row r="67" customFormat="false" ht="15" hidden="false" customHeight="false" outlineLevel="0" collapsed="false">
      <c r="A67" s="34"/>
      <c r="B67" s="35" t="s">
        <v>159</v>
      </c>
      <c r="C67" s="35" t="s">
        <v>160</v>
      </c>
    </row>
    <row r="68" customFormat="false" ht="15" hidden="false" customHeight="false" outlineLevel="0" collapsed="false">
      <c r="A68" s="24" t="s">
        <v>161</v>
      </c>
      <c r="B68" s="29" t="n">
        <f aca="false">IF(C$60="","",IF($B$12="",C$60,MIN(C$60,$B$10*(1+$B$12))))</f>
        <v>174.570760233918</v>
      </c>
      <c r="C68" s="17" t="n">
        <f aca="false">IF(B68="","",(C$60-B68)*$B$8*$B$9)</f>
        <v>0</v>
      </c>
    </row>
    <row r="69" customFormat="false" ht="15" hidden="false" customHeight="false" outlineLevel="0" collapsed="false">
      <c r="A69" s="24" t="s">
        <v>162</v>
      </c>
      <c r="B69" s="29" t="n">
        <f aca="false">IF(C$60="","",IF($B$12="",C$60,MIN(C$60,B68*(1+$B$12))))</f>
        <v>174.570760233918</v>
      </c>
      <c r="C69" s="17" t="n">
        <f aca="false">IF(B69="","",(C$60-B69)*$B$8*$B$9)</f>
        <v>0</v>
      </c>
    </row>
    <row r="70" customFormat="false" ht="15" hidden="false" customHeight="false" outlineLevel="0" collapsed="false">
      <c r="A70" s="24" t="s">
        <v>163</v>
      </c>
      <c r="B70" s="29" t="n">
        <f aca="false">IF(C$60="","",IF($B$12="",C$60,MIN(C$60,B69*(1+$B$12))))</f>
        <v>174.570760233918</v>
      </c>
      <c r="C70" s="17" t="n">
        <f aca="false">IF(B70="","",(C$60-B70)*$B$8*$B$9)</f>
        <v>0</v>
      </c>
    </row>
    <row r="72" customFormat="false" ht="39.75" hidden="false" customHeight="true" outlineLevel="0" collapsed="false">
      <c r="A72" s="8" t="s">
        <v>164</v>
      </c>
      <c r="B72" s="8"/>
      <c r="C72" s="8"/>
      <c r="D72" s="8"/>
      <c r="E72" s="8"/>
    </row>
  </sheetData>
  <sheetProtection sheet="true" formatColumns="false" formatRows="false"/>
  <mergeCells count="23">
    <mergeCell ref="A1:E1"/>
    <mergeCell ref="A2:E2"/>
    <mergeCell ref="C5:E5"/>
    <mergeCell ref="C6:E6"/>
    <mergeCell ref="C7:E7"/>
    <mergeCell ref="C8:E8"/>
    <mergeCell ref="C9:E9"/>
    <mergeCell ref="C10:E10"/>
    <mergeCell ref="C11:E11"/>
    <mergeCell ref="C12:E12"/>
    <mergeCell ref="C13:E13"/>
    <mergeCell ref="C14:E14"/>
    <mergeCell ref="D55:E55"/>
    <mergeCell ref="D56:E56"/>
    <mergeCell ref="D57:E57"/>
    <mergeCell ref="D58:E58"/>
    <mergeCell ref="D59:E59"/>
    <mergeCell ref="D60:E60"/>
    <mergeCell ref="D61:E61"/>
    <mergeCell ref="D62:E62"/>
    <mergeCell ref="D63:E63"/>
    <mergeCell ref="A66:E66"/>
    <mergeCell ref="A72:E72"/>
  </mergeCells>
  <dataValidations count="2">
    <dataValidation allowBlank="false" errorStyle="stop" operator="between" showDropDown="false" showErrorMessage="false" showInputMessage="false" sqref="B7" type="whole">
      <formula1>1</formula1>
      <formula2>12</formula2>
    </dataValidation>
    <dataValidation allowBlank="false" errorStyle="stop" operator="between" showDropDown="false" showErrorMessage="false" showInputMessage="false" sqref="B9" type="list">
      <formula1>"12,4,2,1"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2026-09-23T06:24:07Z</dcterms:created>
  <dc:creator>openpyxl</dc:creator>
  <dc:description/>
  <dc:language>en-US</dc:language>
  <cp:lastModifiedBy/>
  <dcterms:modified xsi:type="dcterms:W3CDTF">2026-09-23T06:24:07Z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